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Timco-Dippelbaum" sheetId="1" r:id="rId1"/>
    <sheet name="ohne Spriessung" sheetId="2" r:id="rId2"/>
    <sheet name="Verteilung" sheetId="3" r:id="rId3"/>
    <sheet name="Zwischenresultate" sheetId="4" r:id="rId4"/>
    <sheet name="Formeln" sheetId="5" r:id="rId5"/>
  </sheets>
  <definedNames>
    <definedName name="_xlnm.Print_Area" localSheetId="1">'ohne Spriessung'!$A$1:$P$61</definedName>
    <definedName name="_xlnm.Print_Area" localSheetId="0">'Timco-Dippelbaum'!$A$1:$P$78</definedName>
  </definedNames>
  <calcPr fullCalcOnLoad="1"/>
</workbook>
</file>

<file path=xl/sharedStrings.xml><?xml version="1.0" encoding="utf-8"?>
<sst xmlns="http://schemas.openxmlformats.org/spreadsheetml/2006/main" count="415" uniqueCount="270">
  <si>
    <t>Geometrie</t>
  </si>
  <si>
    <t>m</t>
  </si>
  <si>
    <t>cm</t>
  </si>
  <si>
    <t>Lasten</t>
  </si>
  <si>
    <t>Auflast</t>
  </si>
  <si>
    <t>Nutzlast</t>
  </si>
  <si>
    <t>Baustoffe</t>
  </si>
  <si>
    <t>Holz</t>
  </si>
  <si>
    <t>Timco II Verbinder</t>
  </si>
  <si>
    <t>- Lasten ohne Beiwerte eingeben</t>
  </si>
  <si>
    <t>Materialeigenschaften</t>
  </si>
  <si>
    <t>E-Modul Beton</t>
  </si>
  <si>
    <t>E-Modul Holz</t>
  </si>
  <si>
    <t>Schubspannung Holz</t>
  </si>
  <si>
    <t>Querschnittswerte</t>
  </si>
  <si>
    <t>Raumgewicht Beton</t>
  </si>
  <si>
    <t>kN</t>
  </si>
  <si>
    <t>versch. Modul</t>
  </si>
  <si>
    <t>kN/mm</t>
  </si>
  <si>
    <t>Timco II Werte</t>
  </si>
  <si>
    <t>Fläche Holz</t>
  </si>
  <si>
    <t>Fläche Beton</t>
  </si>
  <si>
    <t>Trägh.moment Holz</t>
  </si>
  <si>
    <t>Trägh.moment Beton</t>
  </si>
  <si>
    <t>Eigengewicht Tragwerk</t>
  </si>
  <si>
    <t>Hilfsgrössen</t>
  </si>
  <si>
    <r>
      <t>kN/m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</si>
  <si>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</si>
  <si>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4</t>
    </r>
  </si>
  <si>
    <r>
      <t>kN/m</t>
    </r>
    <r>
      <rPr>
        <vertAlign val="superscript"/>
        <sz val="10"/>
        <rFont val="Arial"/>
        <family val="2"/>
      </rPr>
      <t>3</t>
    </r>
  </si>
  <si>
    <t>Abstand Holz-VerbundsSP</t>
  </si>
  <si>
    <t>Abstand Beton-VerbundsSP</t>
  </si>
  <si>
    <t>mm</t>
  </si>
  <si>
    <t>%</t>
  </si>
  <si>
    <t>massgebende Schnittkräfte</t>
  </si>
  <si>
    <t>Spannung Beton oben</t>
  </si>
  <si>
    <t>Spannung Beton unten</t>
  </si>
  <si>
    <t>Spannung Holz oben</t>
  </si>
  <si>
    <t>Spannung Holz unten</t>
  </si>
  <si>
    <t>max. Last auf Verbinder</t>
  </si>
  <si>
    <t>ständiger Anteil NL</t>
  </si>
  <si>
    <t>kNm</t>
  </si>
  <si>
    <t>Ständige Lasten</t>
  </si>
  <si>
    <t>Kurzfristige Lasten</t>
  </si>
  <si>
    <t>Aufteilung der Lasten</t>
  </si>
  <si>
    <t>Ausnützung</t>
  </si>
  <si>
    <t>Timco II - Verbundelement</t>
  </si>
  <si>
    <t>Abstand</t>
  </si>
  <si>
    <t xml:space="preserve">Grenzwert </t>
  </si>
  <si>
    <t>Spannweite (Lichtmass)</t>
  </si>
  <si>
    <r>
      <t xml:space="preserve">Höhe Holzträger      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t</t>
    </r>
  </si>
  <si>
    <r>
      <t xml:space="preserve">Höhe Betonplatte     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c</t>
    </r>
  </si>
  <si>
    <r>
      <t xml:space="preserve">Breite Holzträger     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t</t>
    </r>
  </si>
  <si>
    <t>Durchbiegung, langfristig</t>
  </si>
  <si>
    <t>Verteilung der Verbundschrauben</t>
  </si>
  <si>
    <t>Abstand in den äusseren Vierteln</t>
  </si>
  <si>
    <t>Abstand in den mittleren Vierteln</t>
  </si>
  <si>
    <t>Anzahl Schrauben pro Balken</t>
  </si>
  <si>
    <t>Stück</t>
  </si>
  <si>
    <t>Wertigkeit Beton (n)</t>
  </si>
  <si>
    <t>Anzahl Reihen pro Balken</t>
  </si>
  <si>
    <t xml:space="preserve"> Abstand</t>
  </si>
  <si>
    <t xml:space="preserve">Abstand </t>
  </si>
  <si>
    <t>Spannungsnachweise</t>
  </si>
  <si>
    <t>Gebrauchtauglichkeit</t>
  </si>
  <si>
    <t>Anzahl Reihen pro Balken:</t>
  </si>
  <si>
    <t>negative Spannungen = Druckspannungen</t>
  </si>
  <si>
    <t>Holzspannungen auf Gebrauchsniveau</t>
  </si>
  <si>
    <r>
      <t>Anzahl Schrauben pro m</t>
    </r>
    <r>
      <rPr>
        <vertAlign val="superscript"/>
        <sz val="10"/>
        <rFont val="Arial"/>
        <family val="2"/>
      </rPr>
      <t>2</t>
    </r>
  </si>
  <si>
    <t>Betonspannungen auf Gebrauchsniveau</t>
  </si>
  <si>
    <t>Zwischenresultate der Berechnung zu t = 0</t>
  </si>
  <si>
    <t>Zwischenresultate der Berechnung zu t = oo</t>
  </si>
  <si>
    <t>Trag-</t>
  </si>
  <si>
    <t>Gebrauchs-</t>
  </si>
  <si>
    <t>tauglichkeit</t>
  </si>
  <si>
    <t>mm2</t>
  </si>
  <si>
    <t>Verbundquerschnittswerte</t>
  </si>
  <si>
    <t>Trägheitsmoment</t>
  </si>
  <si>
    <t>Durchbiegung elastisch</t>
  </si>
  <si>
    <t>sicherheit</t>
  </si>
  <si>
    <t>- Das Eigengewicht des Tragwerks</t>
  </si>
  <si>
    <t xml:space="preserve">  wird automatisch berücksichtigt</t>
  </si>
  <si>
    <t>Bemessung und Nachweise nach t = 0</t>
  </si>
  <si>
    <t>Bemessung und Nachweise nach t = oo</t>
  </si>
  <si>
    <t>Durchbiegung</t>
  </si>
  <si>
    <t>Durchbiegung, kurzfristig</t>
  </si>
  <si>
    <t>Allgemeingültige Werte</t>
  </si>
  <si>
    <t>Beton   Ø 16mm</t>
  </si>
  <si>
    <t>mitwirkende Betonfläche</t>
  </si>
  <si>
    <t>mitwirkende Betonbreite</t>
  </si>
  <si>
    <t>Projektdaten</t>
  </si>
  <si>
    <t>Objekt:</t>
  </si>
  <si>
    <t>Positionsnummer:</t>
  </si>
  <si>
    <t>Sachbearbeiter:</t>
  </si>
  <si>
    <t>Datum:</t>
  </si>
  <si>
    <t>- Zwischen der Betonplatte und den Holzbauteilen ist zum Schutz des Holzes vor Feuchtigkeit eine Trennlage einzubauen.</t>
  </si>
  <si>
    <t>- Der Zustand der Balkenköpfe im Auflager ist geprüft.</t>
  </si>
  <si>
    <t>Die Gültigkeit der Ergebnisse bedingen die Einhaltung folgender Punkte:</t>
  </si>
  <si>
    <t>1. Der Holzträger wird im Bauzustand (t = 28 Tage) im mittleren Drittel unterstützt oder aufgehängt.</t>
  </si>
  <si>
    <t>3. Bei Betonstärken von über 10cm ist eine Bügelbewehrung gemäss Anlage 3 zur allgemeinen baaufsichtlichen Zulassung Nr. Z-9.1-445 anzuordnen.</t>
  </si>
  <si>
    <t>. . . und noch ein paar Kriterien:</t>
  </si>
  <si>
    <t>- Bauzustände sind gesondert zu prüfen.</t>
  </si>
  <si>
    <t>- Die Schrauben sind ohne Vorbohren einzudrehen.</t>
  </si>
  <si>
    <r>
      <t>4. Die Timco</t>
    </r>
    <r>
      <rPr>
        <vertAlign val="superscript"/>
        <sz val="10"/>
        <rFont val="Arial"/>
        <family val="2"/>
      </rPr>
      <t>®</t>
    </r>
    <r>
      <rPr>
        <i/>
        <sz val="10"/>
        <rFont val="Times New Roman"/>
        <family val="1"/>
      </rPr>
      <t xml:space="preserve"> II</t>
    </r>
    <r>
      <rPr>
        <sz val="10"/>
        <rFont val="Arial"/>
        <family val="0"/>
      </rPr>
      <t xml:space="preserve"> Schrauben sind mit 45° gegen das nähere Auflager hin geneigt.</t>
    </r>
  </si>
  <si>
    <r>
      <t>Verteilanordnung der Timco</t>
    </r>
    <r>
      <rPr>
        <b/>
        <i/>
        <sz val="12"/>
        <rFont val="Arial"/>
        <family val="2"/>
      </rPr>
      <t xml:space="preserve"> </t>
    </r>
    <r>
      <rPr>
        <b/>
        <i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- Verbundelemente - Vertikalschnitt</t>
    </r>
  </si>
  <si>
    <t>Gewichte &amp; Spannungen</t>
  </si>
  <si>
    <r>
      <t>Verteilanordnung der Timco</t>
    </r>
    <r>
      <rPr>
        <vertAlign val="superscript"/>
        <sz val="18"/>
        <rFont val="Arial"/>
        <family val="2"/>
      </rPr>
      <t>®</t>
    </r>
    <r>
      <rPr>
        <i/>
        <sz val="18"/>
        <rFont val="Times New Roman"/>
        <family val="1"/>
      </rPr>
      <t xml:space="preserve"> II </t>
    </r>
    <r>
      <rPr>
        <sz val="18"/>
        <rFont val="Arial"/>
        <family val="2"/>
      </rPr>
      <t>Verbundelemente - Ansicht Position Nr.</t>
    </r>
  </si>
  <si>
    <r>
      <t xml:space="preserve">Die Ansicht ist schematisch und </t>
    </r>
    <r>
      <rPr>
        <b/>
        <sz val="12"/>
        <rFont val="Arial"/>
        <family val="2"/>
      </rPr>
      <t>nicht</t>
    </r>
    <r>
      <rPr>
        <sz val="12"/>
        <rFont val="Arial"/>
        <family val="2"/>
      </rPr>
      <t xml:space="preserve"> massstäblich gezeichnet. Verbindlich sind  Vermassung,  Abstände und Anzahl Verbundelemente.</t>
    </r>
  </si>
  <si>
    <t>Längsverteilung der Verbundschrauben:</t>
  </si>
  <si>
    <t>Querverteilung der Verbundschrauben:</t>
  </si>
  <si>
    <r>
      <t>Anzahl Schrauben pro m</t>
    </r>
    <r>
      <rPr>
        <vertAlign val="superscript"/>
        <sz val="12"/>
        <rFont val="Arial"/>
        <family val="2"/>
      </rPr>
      <t>2</t>
    </r>
  </si>
  <si>
    <t>Projektdaten:</t>
  </si>
  <si>
    <t>Pos. Nr:</t>
  </si>
  <si>
    <t>Zuständig:</t>
  </si>
  <si>
    <t>Sonderfall: Eine Abspriessung / Aufhängung im Bauzustand ist nicht möglich.</t>
  </si>
  <si>
    <t>Querschnittsabmessungen, Lasten und Baustoffklassifikationen werden aus der Tabelle "Timco-Topfloor" übernommen.</t>
  </si>
  <si>
    <t>Kurzfristige Last im Bauzustand (Betoniermannschaft und Betonanhäufungen)</t>
  </si>
  <si>
    <t>Schnittkräfte im Bauzustand</t>
  </si>
  <si>
    <t>Biegespannung</t>
  </si>
  <si>
    <t>Biegung Holz</t>
  </si>
  <si>
    <t>Schubspannung</t>
  </si>
  <si>
    <t>Schub Holz</t>
  </si>
  <si>
    <t>Druck Beton oben</t>
  </si>
  <si>
    <t>Spannungen im Endzustand</t>
  </si>
  <si>
    <t>Schnittkräfte inf. Nutz- und Auflast</t>
  </si>
  <si>
    <t>Gebrauchtauglichkeit: Durchbiegungen</t>
  </si>
  <si>
    <t>im Bauzustand</t>
  </si>
  <si>
    <t>unter ständigen Lasten</t>
  </si>
  <si>
    <t>unter kurzfristigen Lasten</t>
  </si>
  <si>
    <t>maximale Durchbiegung</t>
  </si>
  <si>
    <t>Ermittlung der Durchbiegungen:</t>
  </si>
  <si>
    <t>- im Bauzustand:</t>
  </si>
  <si>
    <t>Eigenlast des Tragwerks (ohne Betoniermannschaft und Betonanhäufungen) bezüglich Steifigkeit Holzquerschnitt.</t>
  </si>
  <si>
    <t>- unter ständigen Lasten:</t>
  </si>
  <si>
    <t>Eigenlast + Auflast + langfristige Nutzlast bezüglich Steifigkeit Verbundquerschnitt langfristig.</t>
  </si>
  <si>
    <t>- unter kurzfristigen Lasten:</t>
  </si>
  <si>
    <t>Kurzfristige Nutzlast bezüglich Steifigkeit Verbundquerschnitt kurzfristig.</t>
  </si>
  <si>
    <t>- maximale Durchbiegung:</t>
  </si>
  <si>
    <t>Summe der Teildurchbiegungen.</t>
  </si>
  <si>
    <t>Spannungen im Bauzustand (Gebrauch)</t>
  </si>
  <si>
    <t>Betonspannung auf Gebrauchsniveau</t>
  </si>
  <si>
    <t>Schnittkräfte inf. Eigenlast</t>
  </si>
  <si>
    <t>Betondruck fcd</t>
  </si>
  <si>
    <t>Holzbiegezug ftd</t>
  </si>
  <si>
    <t>Schub Holz Taud</t>
  </si>
  <si>
    <t>Moment Md</t>
  </si>
  <si>
    <t>Querkraft Vd</t>
  </si>
  <si>
    <t>Druckspannung Beton frcd</t>
  </si>
  <si>
    <t>Biegespannung Holz fmrd</t>
  </si>
  <si>
    <t>Schubspannung Holz fvrd</t>
  </si>
  <si>
    <t>Verbundelement Trd</t>
  </si>
  <si>
    <t>Verbundelement Td</t>
  </si>
  <si>
    <t>Last auf Verbinder Td</t>
  </si>
  <si>
    <t>Spannungen Design</t>
  </si>
  <si>
    <t>Hilfsgrösse k</t>
  </si>
  <si>
    <t>N/mm²</t>
  </si>
  <si>
    <t>l/300</t>
  </si>
  <si>
    <t>2. Die Bewehrung entspricht mindestens einer Betonstahlmatte Q 188.</t>
  </si>
  <si>
    <t>Formeln zur Bemessung eines Holz- Beton- Verbundträgers</t>
  </si>
  <si>
    <t>Querschnittswerte ohne Verbund für Eigengewicht</t>
  </si>
  <si>
    <t>Beton</t>
  </si>
  <si>
    <t>Einwirkungen auf das Tragwerk</t>
  </si>
  <si>
    <t>Total kurzfristige Last pro Träger [kN / m]</t>
  </si>
  <si>
    <r>
      <t>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1,5 * q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* (1 - </t>
    </r>
    <r>
      <rPr>
        <sz val="14"/>
        <color indexed="8"/>
        <rFont val="Symbol"/>
        <family val="1"/>
      </rPr>
      <t>l</t>
    </r>
    <r>
      <rPr>
        <sz val="14"/>
        <color indexed="8"/>
        <rFont val="Calibri"/>
        <family val="2"/>
      </rPr>
      <t>) * b</t>
    </r>
    <r>
      <rPr>
        <vertAlign val="subscript"/>
        <sz val="14"/>
        <color indexed="8"/>
        <rFont val="Calibri"/>
        <family val="2"/>
      </rPr>
      <t>c</t>
    </r>
  </si>
  <si>
    <t>Total langfristige Last pro Träger [kN / m]</t>
  </si>
  <si>
    <r>
      <t>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(1,35 * (g</t>
    </r>
    <r>
      <rPr>
        <vertAlign val="subscript"/>
        <sz val="14"/>
        <color indexed="8"/>
        <rFont val="Calibri"/>
        <family val="2"/>
      </rPr>
      <t>k,1</t>
    </r>
    <r>
      <rPr>
        <sz val="14"/>
        <color indexed="8"/>
        <rFont val="Calibri"/>
        <family val="2"/>
      </rPr>
      <t xml:space="preserve"> + g</t>
    </r>
    <r>
      <rPr>
        <vertAlign val="subscript"/>
        <sz val="14"/>
        <color indexed="8"/>
        <rFont val="Calibri"/>
        <family val="2"/>
      </rPr>
      <t>k,2</t>
    </r>
    <r>
      <rPr>
        <sz val="14"/>
        <color indexed="8"/>
        <rFont val="Calibri"/>
        <family val="2"/>
      </rPr>
      <t>) + 1,5 * q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l</t>
    </r>
    <r>
      <rPr>
        <sz val="14"/>
        <color indexed="8"/>
        <rFont val="Calibri"/>
        <family val="2"/>
      </rPr>
      <t>) * b</t>
    </r>
    <r>
      <rPr>
        <vertAlign val="subscript"/>
        <sz val="14"/>
        <color indexed="8"/>
        <rFont val="Calibri"/>
        <family val="2"/>
      </rPr>
      <t>c</t>
    </r>
  </si>
  <si>
    <t>Ermittliung der Gesamtsteifigkeiten</t>
  </si>
  <si>
    <t>Die Ermittlung der Steifigkeiten erfolgt zum Zeitpunkt t = 0 und t = unendlich. Für beide Zeitpunkte wird jeweils die Steifigkeitsverteilung für die Gebrauchstauglichkeit als auch für die Tragsicherheit ermittelt.</t>
  </si>
  <si>
    <t>Indizes:                                                                              s = Zeitpunkt t = 0 - kurzfristig                                   l = Zeitpunkt t = unendlich - langfristig                 1 = Gebrauchstauglichkeit                                          2 = Tragfähigkeit</t>
  </si>
  <si>
    <t>Rechnerischer Abstand der Verbundelemente unter der Annahme dass in den äußeren Vierteln doppelt so viele Elemente eingebaut sind wie in den mittleren Vierteln</t>
  </si>
  <si>
    <r>
      <t>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= (0,75 * a</t>
    </r>
    <r>
      <rPr>
        <vertAlign val="subscript"/>
        <sz val="14"/>
        <color indexed="8"/>
        <rFont val="Calibri"/>
        <family val="2"/>
      </rPr>
      <t>ra</t>
    </r>
    <r>
      <rPr>
        <sz val="14"/>
        <color indexed="8"/>
        <rFont val="Calibri"/>
        <family val="2"/>
      </rPr>
      <t xml:space="preserve"> + 0,25 * a</t>
    </r>
    <r>
      <rPr>
        <vertAlign val="subscript"/>
        <sz val="14"/>
        <color indexed="8"/>
        <rFont val="Calibri"/>
        <family val="2"/>
      </rPr>
      <t>ri</t>
    </r>
    <r>
      <rPr>
        <sz val="14"/>
        <color indexed="8"/>
        <rFont val="Calibri"/>
        <family val="2"/>
      </rPr>
      <t>) / n</t>
    </r>
    <r>
      <rPr>
        <vertAlign val="subscript"/>
        <sz val="14"/>
        <color indexed="8"/>
        <rFont val="Calibri"/>
        <family val="2"/>
      </rPr>
      <t>r</t>
    </r>
  </si>
  <si>
    <t>Anfangsverschiebungsmodul einer Schraube im Zusatnd der  Gebrauchstauglichkeit zum Zeitpunkt t = 0 [N / mm]</t>
  </si>
  <si>
    <t>Anfangsverschiebungsmodul einer Schraube im Zusatnd der  Tragfähigkeitkeit zum Zeitpunkt t = 0 [N / mm]</t>
  </si>
  <si>
    <r>
      <t>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2 / 3</t>
    </r>
  </si>
  <si>
    <t>Anfangsverschiebungsmodul einer Schraube im Zusatnd der  Gebrauchstauglichkeit zum Zeitpunkt t = unendlich [N / mm]</t>
  </si>
  <si>
    <t>Anfangsverschiebungsmodul einer Schraube im Zusatnd der  Tragfähigkeitkeit zum Zeitpunkt t = unendlich [N / mm]</t>
  </si>
  <si>
    <t>Bestimmung der mitwirkenden Breite der Betonplatte</t>
  </si>
  <si>
    <r>
      <t>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= 0,25 * l wenn b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&gt; 0,25 * l; ansonsten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</t>
    </r>
  </si>
  <si>
    <t>Trägheitsmoment Holz</t>
  </si>
  <si>
    <t>Trägheitsmoment Beton</t>
  </si>
  <si>
    <r>
      <t>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>³ / 12</t>
    </r>
  </si>
  <si>
    <t>Querschnittsfläche Beton</t>
  </si>
  <si>
    <r>
      <t>A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c</t>
    </r>
  </si>
  <si>
    <t xml:space="preserve">Verhältnis der E- Moduli: </t>
  </si>
  <si>
    <r>
      <t>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/ E</t>
    </r>
    <r>
      <rPr>
        <vertAlign val="subscript"/>
        <sz val="14"/>
        <color indexed="8"/>
        <rFont val="Calibri"/>
        <family val="2"/>
      </rPr>
      <t>t,s</t>
    </r>
  </si>
  <si>
    <r>
      <t>n</t>
    </r>
    <r>
      <rPr>
        <vertAlign val="subscript"/>
        <sz val="14"/>
        <color indexed="8"/>
        <rFont val="Calibri"/>
        <family val="2"/>
      </rPr>
      <t xml:space="preserve">l </t>
    </r>
    <r>
      <rPr>
        <sz val="14"/>
        <color indexed="8"/>
        <rFont val="Calibri"/>
        <family val="2"/>
      </rPr>
      <t>= 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/ E</t>
    </r>
    <r>
      <rPr>
        <vertAlign val="subscript"/>
        <sz val="14"/>
        <color indexed="8"/>
        <rFont val="Calibri"/>
        <family val="2"/>
      </rPr>
      <t>t,l</t>
    </r>
  </si>
  <si>
    <r>
      <t>k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</si>
  <si>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</si>
  <si>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 xml:space="preserve">c,l </t>
    </r>
    <r>
      <rPr>
        <sz val="14"/>
        <color indexed="8"/>
        <rFont val="Calibri"/>
        <family val="2"/>
      </rPr>
      <t>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</si>
  <si>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</si>
  <si>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</si>
  <si>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</si>
  <si>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</si>
  <si>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>)</t>
    </r>
  </si>
  <si>
    <t>Abstand Verbundschwerpunkt zum Schwerpunkt Holz</t>
  </si>
  <si>
    <t>Abstand Verbundschwerpunkt zum Schwerpunkt Beton</t>
  </si>
  <si>
    <t>Trägheitsmoment des Verbundquerschnitts</t>
  </si>
  <si>
    <r>
      <t>I</t>
    </r>
    <r>
      <rPr>
        <vertAlign val="subscript"/>
        <sz val="14"/>
        <color indexed="8"/>
        <rFont val="Calibri"/>
        <family val="2"/>
      </rPr>
      <t>v,s,1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t,s,1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c,s,1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</si>
  <si>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</si>
  <si>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v,l,1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t,l,1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c,l,1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</si>
  <si>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>²</t>
    </r>
  </si>
  <si>
    <t>Für die Berechnung der maximalen Last auf die Verbundelemente wird der Abstand wieder auf den Abstand in den äusseren Vierteln zurückgesetzt</t>
  </si>
  <si>
    <r>
      <t>a</t>
    </r>
    <r>
      <rPr>
        <vertAlign val="subscript"/>
        <sz val="14"/>
        <color indexed="8"/>
        <rFont val="Calibri"/>
        <family val="2"/>
      </rPr>
      <t>sc,d</t>
    </r>
    <r>
      <rPr>
        <sz val="14"/>
        <color indexed="8"/>
        <rFont val="Calibri"/>
        <family val="2"/>
      </rPr>
      <t xml:space="preserve"> =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1,25</t>
    </r>
  </si>
  <si>
    <t>Last auf Verbundelemente</t>
  </si>
  <si>
    <t>Einwirkung auf die Schrauben</t>
  </si>
  <si>
    <r>
      <t>T</t>
    </r>
    <r>
      <rPr>
        <vertAlign val="subscript"/>
        <sz val="14"/>
        <color indexed="8"/>
        <rFont val="Calibri"/>
        <family val="2"/>
      </rPr>
      <t>s, d</t>
    </r>
    <r>
      <rPr>
        <sz val="14"/>
        <color indexed="8"/>
        <rFont val="Calibri"/>
        <family val="2"/>
      </rPr>
      <t xml:space="preserve"> = (V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+ V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)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sc,d</t>
    </r>
  </si>
  <si>
    <r>
      <t>T</t>
    </r>
    <r>
      <rPr>
        <vertAlign val="subscript"/>
        <sz val="14"/>
        <color indexed="8"/>
        <rFont val="Calibri"/>
        <family val="2"/>
      </rPr>
      <t>l, d</t>
    </r>
    <r>
      <rPr>
        <sz val="14"/>
        <color indexed="8"/>
        <rFont val="Calibri"/>
        <family val="2"/>
      </rPr>
      <t xml:space="preserve"> = (V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+ V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)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sc,d</t>
    </r>
  </si>
  <si>
    <t>Charakteristische Schraubentragfähigkeit nach Zulassung</t>
  </si>
  <si>
    <r>
      <t>Design Schraubentragfähigkeit für k</t>
    </r>
    <r>
      <rPr>
        <vertAlign val="subscript"/>
        <sz val="12"/>
        <color indexed="8"/>
        <rFont val="Calibri"/>
        <family val="2"/>
      </rPr>
      <t>led</t>
    </r>
    <r>
      <rPr>
        <sz val="12"/>
        <color indexed="8"/>
        <rFont val="Calibri"/>
        <family val="2"/>
      </rPr>
      <t xml:space="preserve"> mittel und Nutzungsklasse 1</t>
    </r>
  </si>
  <si>
    <t>Ermittlung der maßgebenden Belastung</t>
  </si>
  <si>
    <t>Querkraft am Auflager</t>
  </si>
  <si>
    <r>
      <t>V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l / 2</t>
    </r>
  </si>
  <si>
    <r>
      <t>V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* l / 2</t>
    </r>
  </si>
  <si>
    <t>Moment in Feldmitte</t>
  </si>
  <si>
    <r>
      <t>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l² / 8</t>
    </r>
  </si>
  <si>
    <r>
      <t>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* l² / 8</t>
    </r>
  </si>
  <si>
    <t>Ermittlung der Spannungen</t>
  </si>
  <si>
    <t>Spannungen im Beton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</si>
  <si>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c,s,o,d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</si>
  <si>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t>o = oben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</si>
  <si>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c,s,u,d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</si>
  <si>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t>u = unten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</si>
  <si>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c,l,o,d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</si>
  <si>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c,l,u,d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</si>
  <si>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t>Spannungen im Holz</t>
  </si>
  <si>
    <r>
      <rPr>
        <sz val="14"/>
        <color indexed="8"/>
        <rFont val="Symbol"/>
        <family val="1"/>
      </rPr>
      <t>t</t>
    </r>
    <r>
      <rPr>
        <vertAlign val="subscript"/>
        <sz val="14"/>
        <color indexed="8"/>
        <rFont val="Calibri"/>
        <family val="2"/>
      </rPr>
      <t>td</t>
    </r>
    <r>
      <rPr>
        <sz val="14"/>
        <color indexed="8"/>
        <rFont val="Calibri"/>
        <family val="2"/>
      </rPr>
      <t xml:space="preserve"> = 1,5 * (V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V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/ (b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</si>
  <si>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t>Durchbiegung zum Zeitpunkt unendlich</t>
  </si>
  <si>
    <r>
      <rPr>
        <sz val="14"/>
        <color indexed="8"/>
        <rFont val="Symbol"/>
        <family val="1"/>
      </rPr>
      <t>d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= 5 * [p</t>
    </r>
    <r>
      <rPr>
        <vertAlign val="subscript"/>
        <sz val="14"/>
        <color indexed="8"/>
        <rFont val="Calibri"/>
        <family val="2"/>
      </rPr>
      <t>l,k</t>
    </r>
    <r>
      <rPr>
        <sz val="14"/>
        <color indexed="8"/>
        <rFont val="Calibri"/>
        <family val="2"/>
      </rPr>
      <t xml:space="preserve"> / (I</t>
    </r>
    <r>
      <rPr>
        <vertAlign val="subscript"/>
        <sz val="14"/>
        <color indexed="8"/>
        <rFont val="Calibri"/>
        <family val="2"/>
      </rPr>
      <t>v,l,1</t>
    </r>
    <r>
      <rPr>
        <sz val="14"/>
        <color indexed="8"/>
        <rFont val="Calibri"/>
        <family val="2"/>
      </rPr>
      <t xml:space="preserve"> * E</t>
    </r>
    <r>
      <rPr>
        <vertAlign val="subscript"/>
        <sz val="14"/>
        <color indexed="8"/>
        <rFont val="Calibri"/>
        <family val="2"/>
      </rPr>
      <t>t,l</t>
    </r>
    <r>
      <rPr>
        <sz val="14"/>
        <color indexed="8"/>
        <rFont val="Calibri"/>
        <family val="2"/>
      </rPr>
      <t>) + p</t>
    </r>
    <r>
      <rPr>
        <vertAlign val="subscript"/>
        <sz val="14"/>
        <color indexed="8"/>
        <rFont val="Calibri"/>
        <family val="2"/>
      </rPr>
      <t>s,k</t>
    </r>
    <r>
      <rPr>
        <sz val="14"/>
        <color indexed="8"/>
        <rFont val="Calibri"/>
        <family val="2"/>
      </rPr>
      <t xml:space="preserve"> / (I</t>
    </r>
    <r>
      <rPr>
        <vertAlign val="subscript"/>
        <sz val="14"/>
        <color indexed="8"/>
        <rFont val="Calibri"/>
        <family val="2"/>
      </rPr>
      <t>v,s,1</t>
    </r>
    <r>
      <rPr>
        <sz val="14"/>
        <color indexed="8"/>
        <rFont val="Calibri"/>
        <family val="2"/>
      </rPr>
      <t xml:space="preserve"> * 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>)] * l</t>
    </r>
    <r>
      <rPr>
        <vertAlign val="superscript"/>
        <sz val="14"/>
        <color indexed="8"/>
        <rFont val="Calibri"/>
        <family val="2"/>
      </rPr>
      <t>4</t>
    </r>
    <r>
      <rPr>
        <sz val="14"/>
        <color indexed="8"/>
        <rFont val="Calibri"/>
        <family val="2"/>
      </rPr>
      <t xml:space="preserve"> / 384</t>
    </r>
  </si>
  <si>
    <r>
      <t>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130 * l</t>
    </r>
    <r>
      <rPr>
        <vertAlign val="subscript"/>
        <sz val="14"/>
        <color indexed="8"/>
        <rFont val="Calibri"/>
        <family val="2"/>
      </rPr>
      <t>ef</t>
    </r>
  </si>
  <si>
    <r>
      <t>C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/ 1,6</t>
    </r>
  </si>
  <si>
    <r>
      <t>C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/ 1,6</t>
    </r>
  </si>
  <si>
    <t xml:space="preserve">E- Moduli Beton gemäß EC2: </t>
  </si>
  <si>
    <r>
      <t>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aus EC2</t>
    </r>
  </si>
  <si>
    <r>
      <t>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/ 3,5</t>
    </r>
  </si>
  <si>
    <t xml:space="preserve">E- Moduli Holz gemäß EC5: </t>
  </si>
  <si>
    <r>
      <t>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0,mean</t>
    </r>
  </si>
  <si>
    <r>
      <t>E</t>
    </r>
    <r>
      <rPr>
        <vertAlign val="subscript"/>
        <sz val="14"/>
        <color indexed="8"/>
        <rFont val="Calibri"/>
        <family val="2"/>
      </rPr>
      <t>t,l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 xml:space="preserve"> / 1,6</t>
    </r>
  </si>
  <si>
    <r>
      <t xml:space="preserve">Hillfsgröße </t>
    </r>
    <r>
      <rPr>
        <sz val="12"/>
        <color indexed="8"/>
        <rFont val="Symbol"/>
        <family val="1"/>
      </rPr>
      <t>g</t>
    </r>
    <r>
      <rPr>
        <sz val="12"/>
        <color indexed="8"/>
        <rFont val="Calibri"/>
        <family val="2"/>
      </rPr>
      <t xml:space="preserve">:                                          </t>
    </r>
  </si>
  <si>
    <t xml:space="preserve">Hillfsgröße k:                                          </t>
  </si>
  <si>
    <r>
      <t>T</t>
    </r>
    <r>
      <rPr>
        <vertAlign val="subscript"/>
        <sz val="14"/>
        <color indexed="8"/>
        <rFont val="Calibri"/>
        <family val="2"/>
      </rPr>
      <t>R,d</t>
    </r>
    <r>
      <rPr>
        <sz val="14"/>
        <color indexed="8"/>
        <rFont val="Calibri"/>
        <family val="2"/>
      </rPr>
      <t xml:space="preserve"> = 0,8 * T</t>
    </r>
    <r>
      <rPr>
        <vertAlign val="subscript"/>
        <sz val="14"/>
        <color indexed="8"/>
        <rFont val="Calibri"/>
        <family val="2"/>
      </rPr>
      <t>R,k</t>
    </r>
    <r>
      <rPr>
        <sz val="14"/>
        <color indexed="8"/>
        <rFont val="Calibri"/>
        <family val="2"/>
      </rPr>
      <t xml:space="preserve"> / 1,3</t>
    </r>
  </si>
  <si>
    <r>
      <t>T</t>
    </r>
    <r>
      <rPr>
        <vertAlign val="subscript"/>
        <sz val="14"/>
        <color indexed="8"/>
        <rFont val="Calibri"/>
        <family val="2"/>
      </rPr>
      <t>R,k</t>
    </r>
    <r>
      <rPr>
        <sz val="14"/>
        <color indexed="8"/>
        <rFont val="Calibri"/>
        <family val="2"/>
      </rPr>
      <t xml:space="preserve"> = 83 * l</t>
    </r>
    <r>
      <rPr>
        <vertAlign val="subscript"/>
        <sz val="14"/>
        <color indexed="8"/>
        <rFont val="Calibri"/>
        <family val="2"/>
      </rPr>
      <t>ef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/ 350) ^ 0,8</t>
    </r>
  </si>
  <si>
    <r>
      <t xml:space="preserve">Hilfsgrösse </t>
    </r>
    <r>
      <rPr>
        <sz val="10"/>
        <rFont val="Symbol"/>
        <family val="1"/>
      </rPr>
      <t>g</t>
    </r>
  </si>
  <si>
    <t>in der Nutzungsklasse 1 und Lasteinwirkungsdauer kled mittel</t>
  </si>
  <si>
    <t>Die Berechnung wird mit einer Trennlage für kled Mittel und Nutzungsklasse 1 geführt.</t>
  </si>
  <si>
    <t>kN/mm²</t>
  </si>
  <si>
    <t>C20/25</t>
  </si>
  <si>
    <t xml:space="preserve"> ©  by TIMCO AG</t>
  </si>
  <si>
    <t>C24</t>
  </si>
  <si>
    <r>
      <t>Dippelbaum</t>
    </r>
    <r>
      <rPr>
        <sz val="14"/>
        <rFont val="Arial"/>
        <family val="2"/>
      </rPr>
      <t xml:space="preserve">-Bemessung nach der </t>
    </r>
    <r>
      <rPr>
        <sz val="14"/>
        <color indexed="10"/>
        <rFont val="Arial"/>
        <family val="2"/>
      </rPr>
      <t>Timco</t>
    </r>
    <r>
      <rPr>
        <vertAlign val="superscript"/>
        <sz val="14"/>
        <color indexed="10"/>
        <rFont val="Arial"/>
        <family val="2"/>
      </rPr>
      <t>®</t>
    </r>
    <r>
      <rPr>
        <sz val="14"/>
        <rFont val="Arial"/>
        <family val="2"/>
      </rPr>
      <t xml:space="preserve"> Zulassung DIBT Z-9.1-445 und in Anlehnung an EC5 und EC2</t>
    </r>
  </si>
  <si>
    <r>
      <t>Dippelbaum</t>
    </r>
    <r>
      <rPr>
        <sz val="14"/>
        <rFont val="Arial"/>
        <family val="2"/>
      </rPr>
      <t xml:space="preserve">-Bemessung nach der </t>
    </r>
    <r>
      <rPr>
        <sz val="14"/>
        <color indexed="10"/>
        <rFont val="Arial"/>
        <family val="2"/>
      </rPr>
      <t>Timco</t>
    </r>
    <r>
      <rPr>
        <vertAlign val="superscript"/>
        <sz val="14"/>
        <color indexed="10"/>
        <rFont val="Arial"/>
        <family val="2"/>
      </rPr>
      <t>®</t>
    </r>
    <r>
      <rPr>
        <sz val="14"/>
        <rFont val="Arial"/>
        <family val="2"/>
      </rPr>
      <t xml:space="preserve"> Zulassung DIBT Z-9.1-445 und in Anlehnung an den EC5</t>
    </r>
  </si>
  <si>
    <r>
      <t xml:space="preserve">Raumgewicht Holz </t>
    </r>
    <r>
      <rPr>
        <sz val="10"/>
        <rFont val="Symbol"/>
        <family val="1"/>
      </rPr>
      <t>r</t>
    </r>
    <r>
      <rPr>
        <sz val="10"/>
        <rFont val="Arial"/>
        <family val="0"/>
      </rPr>
      <t>k</t>
    </r>
  </si>
  <si>
    <t xml:space="preserve">Das Eigengewicht des Tragwerks wird mit </t>
  </si>
  <si>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Holz</t>
    </r>
    <r>
      <rPr>
        <sz val="10"/>
        <rFont val="Arial"/>
        <family val="2"/>
      </rPr>
      <t>= 5 kN/m³ ermittelt.</t>
    </r>
  </si>
  <si>
    <r>
      <t>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= (2*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)² *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/8</t>
    </r>
  </si>
  <si>
    <r>
      <t>A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* (h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 - A</t>
    </r>
    <r>
      <rPr>
        <vertAlign val="subscript"/>
        <sz val="14"/>
        <color indexed="8"/>
        <rFont val="Calibri"/>
        <family val="2"/>
      </rPr>
      <t>t</t>
    </r>
  </si>
  <si>
    <r>
      <t>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= 0,11 * h</t>
    </r>
    <r>
      <rPr>
        <vertAlign val="subscript"/>
        <sz val="14"/>
        <color indexed="8"/>
        <rFont val="Calibri"/>
        <family val="2"/>
      </rPr>
      <t>t</t>
    </r>
    <r>
      <rPr>
        <vertAlign val="superscript"/>
        <sz val="14"/>
        <color indexed="8"/>
        <rFont val="Calibri"/>
        <family val="2"/>
      </rPr>
      <t>4</t>
    </r>
    <r>
      <rPr>
        <sz val="14"/>
        <color indexed="8"/>
        <rFont val="Calibri"/>
        <family val="2"/>
      </rPr>
      <t xml:space="preserve"> </t>
    </r>
  </si>
  <si>
    <r>
      <t>a</t>
    </r>
    <r>
      <rPr>
        <vertAlign val="subscript"/>
        <sz val="14"/>
        <color indexed="8"/>
        <rFont val="Calibri"/>
        <family val="2"/>
      </rPr>
      <t>t,s,1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2)] / (n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</si>
  <si>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(0,5756 * ht  * hc / 2)] / (n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</si>
  <si>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t,l,1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(0,5756 * ht  * hc / 2)] / (n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</si>
  <si>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(0,5756 * ht  * hc / 2)] / (n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</si>
  <si>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c,s,1</t>
    </r>
    <r>
      <rPr>
        <sz val="14"/>
        <color indexed="8"/>
        <rFont val="Calibri"/>
        <family val="2"/>
      </rPr>
      <t xml:space="preserve"> = 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t,s,1</t>
    </r>
  </si>
  <si>
    <r>
      <t>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= 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2 - a</t>
    </r>
    <r>
      <rPr>
        <vertAlign val="subscript"/>
        <sz val="14"/>
        <color indexed="8"/>
        <rFont val="Calibri"/>
        <family val="2"/>
      </rPr>
      <t>t,s,2</t>
    </r>
  </si>
  <si>
    <r>
      <t>a</t>
    </r>
    <r>
      <rPr>
        <vertAlign val="subscript"/>
        <sz val="14"/>
        <color indexed="8"/>
        <rFont val="Calibri"/>
        <family val="2"/>
      </rPr>
      <t>c,l,1</t>
    </r>
    <r>
      <rPr>
        <sz val="14"/>
        <color indexed="8"/>
        <rFont val="Calibri"/>
        <family val="2"/>
      </rPr>
      <t xml:space="preserve"> = 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t,l,1</t>
    </r>
  </si>
  <si>
    <r>
      <t>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= 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t,l,2</t>
    </r>
  </si>
  <si>
    <t>Eigengewicht [kN/m]</t>
  </si>
  <si>
    <r>
      <t>g</t>
    </r>
    <r>
      <rPr>
        <vertAlign val="subscript"/>
        <sz val="14"/>
        <color indexed="8"/>
        <rFont val="Calibri"/>
        <family val="2"/>
      </rPr>
      <t>k,1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 xml:space="preserve">+ 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</t>
    </r>
    <r>
      <rPr>
        <vertAlign val="subscript"/>
        <sz val="14"/>
        <color indexed="8"/>
        <rFont val="Calibri"/>
        <family val="2"/>
      </rPr>
      <t xml:space="preserve"> 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</si>
  <si>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t,s,o,d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(1-4 / (3*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)))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</si>
  <si>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t,l,o,d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(1-4 / (3*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)))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</si>
  <si>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t,l,u,d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+ 4 * ht / (3*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))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</si>
  <si>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t,s,u,d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+ 4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(3*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))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</si>
</sst>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0.E+00"/>
    <numFmt numFmtId="190" formatCode="0.0%"/>
    <numFmt numFmtId="191" formatCode="d/\ mmmm\ yyyy"/>
    <numFmt numFmtId="192" formatCode="dd/mm/yy"/>
  </numFmts>
  <fonts count="7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vertAlign val="superscript"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Times New Roman"/>
      <family val="1"/>
    </font>
    <font>
      <sz val="18"/>
      <name val="Arial"/>
      <family val="2"/>
    </font>
    <font>
      <vertAlign val="superscript"/>
      <sz val="18"/>
      <name val="Arial"/>
      <family val="2"/>
    </font>
    <font>
      <i/>
      <sz val="18"/>
      <name val="Times New Roman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4"/>
      <color indexed="8"/>
      <name val="Symbol"/>
      <family val="1"/>
    </font>
    <font>
      <sz val="12"/>
      <color indexed="8"/>
      <name val="Symbol"/>
      <family val="1"/>
    </font>
    <font>
      <vertAlign val="subscript"/>
      <sz val="12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185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187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77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13" xfId="0" applyFont="1" applyFill="1" applyBorder="1" applyAlignment="1" applyProtection="1">
      <alignment/>
      <protection hidden="1"/>
    </xf>
    <xf numFmtId="0" fontId="13" fillId="33" borderId="14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16" xfId="0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90" fontId="6" fillId="0" borderId="0" xfId="0" applyNumberFormat="1" applyFont="1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49" fontId="2" fillId="0" borderId="15" xfId="0" applyNumberFormat="1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49" fontId="2" fillId="0" borderId="16" xfId="0" applyNumberFormat="1" applyFont="1" applyBorder="1" applyAlignment="1" applyProtection="1">
      <alignment horizontal="left"/>
      <protection hidden="1"/>
    </xf>
    <xf numFmtId="188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 horizontal="left"/>
      <protection hidden="1"/>
    </xf>
    <xf numFmtId="2" fontId="1" fillId="0" borderId="19" xfId="0" applyNumberFormat="1" applyFon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190" fontId="6" fillId="0" borderId="19" xfId="0" applyNumberFormat="1" applyFon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188" fontId="3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2" fontId="1" fillId="33" borderId="0" xfId="0" applyNumberFormat="1" applyFont="1" applyFill="1" applyBorder="1" applyAlignment="1" applyProtection="1">
      <alignment/>
      <protection hidden="1"/>
    </xf>
    <xf numFmtId="190" fontId="6" fillId="33" borderId="0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13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2" fontId="9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190" fontId="16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14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2" fontId="1" fillId="0" borderId="21" xfId="0" applyNumberFormat="1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2" fontId="1" fillId="33" borderId="0" xfId="0" applyNumberFormat="1" applyFont="1" applyFill="1" applyBorder="1" applyAlignment="1" applyProtection="1">
      <alignment horizontal="left"/>
      <protection hidden="1"/>
    </xf>
    <xf numFmtId="190" fontId="6" fillId="33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1" fontId="1" fillId="33" borderId="0" xfId="0" applyNumberFormat="1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/>
    </xf>
    <xf numFmtId="2" fontId="1" fillId="33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88" fontId="1" fillId="0" borderId="19" xfId="0" applyNumberFormat="1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88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/>
      <protection hidden="1"/>
    </xf>
    <xf numFmtId="2" fontId="1" fillId="0" borderId="19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11" fontId="1" fillId="0" borderId="19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11" fontId="1" fillId="0" borderId="0" xfId="0" applyNumberFormat="1" applyFont="1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 locked="0"/>
    </xf>
    <xf numFmtId="188" fontId="3" fillId="0" borderId="0" xfId="0" applyNumberFormat="1" applyFont="1" applyFill="1" applyBorder="1" applyAlignment="1" applyProtection="1">
      <alignment/>
      <protection hidden="1" locked="0"/>
    </xf>
    <xf numFmtId="188" fontId="3" fillId="0" borderId="19" xfId="0" applyNumberFormat="1" applyFont="1" applyFill="1" applyBorder="1" applyAlignment="1" applyProtection="1">
      <alignment/>
      <protection hidden="1" locked="0"/>
    </xf>
    <xf numFmtId="2" fontId="3" fillId="0" borderId="0" xfId="0" applyNumberFormat="1" applyFont="1" applyBorder="1" applyAlignment="1" applyProtection="1">
      <alignment/>
      <protection hidden="1" locked="0"/>
    </xf>
    <xf numFmtId="0" fontId="3" fillId="0" borderId="19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/>
      <protection hidden="1" locked="0"/>
    </xf>
    <xf numFmtId="0" fontId="3" fillId="0" borderId="0" xfId="0" applyFont="1" applyFill="1" applyBorder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0" borderId="17" xfId="0" applyNumberFormat="1" applyFont="1" applyFill="1" applyBorder="1" applyAlignment="1" applyProtection="1">
      <alignment horizontal="left"/>
      <protection hidden="1" locked="0"/>
    </xf>
    <xf numFmtId="0" fontId="18" fillId="33" borderId="0" xfId="0" applyFont="1" applyFill="1" applyAlignment="1" applyProtection="1">
      <alignment horizontal="left"/>
      <protection hidden="1"/>
    </xf>
    <xf numFmtId="2" fontId="0" fillId="33" borderId="0" xfId="0" applyNumberFormat="1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21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right"/>
      <protection hidden="1"/>
    </xf>
    <xf numFmtId="1" fontId="9" fillId="33" borderId="0" xfId="0" applyNumberFormat="1" applyFont="1" applyFill="1" applyAlignment="1" applyProtection="1">
      <alignment horizontal="left"/>
      <protection hidden="1"/>
    </xf>
    <xf numFmtId="1" fontId="9" fillId="33" borderId="0" xfId="0" applyNumberFormat="1" applyFont="1" applyFill="1" applyAlignment="1" applyProtection="1">
      <alignment/>
      <protection hidden="1"/>
    </xf>
    <xf numFmtId="0" fontId="21" fillId="33" borderId="0" xfId="0" applyFont="1" applyFill="1" applyBorder="1" applyAlignment="1" applyProtection="1">
      <alignment/>
      <protection hidden="1"/>
    </xf>
    <xf numFmtId="1" fontId="21" fillId="33" borderId="0" xfId="0" applyNumberFormat="1" applyFont="1" applyFill="1" applyAlignment="1" applyProtection="1">
      <alignment/>
      <protection hidden="1"/>
    </xf>
    <xf numFmtId="188" fontId="21" fillId="33" borderId="0" xfId="0" applyNumberFormat="1" applyFont="1" applyFill="1" applyAlignment="1" applyProtection="1">
      <alignment/>
      <protection hidden="1"/>
    </xf>
    <xf numFmtId="0" fontId="21" fillId="33" borderId="0" xfId="0" applyFont="1" applyFill="1" applyAlignment="1" applyProtection="1">
      <alignment horizontal="left"/>
      <protection hidden="1"/>
    </xf>
    <xf numFmtId="0" fontId="21" fillId="33" borderId="0" xfId="0" applyFont="1" applyFill="1" applyAlignment="1" applyProtection="1">
      <alignment horizontal="right"/>
      <protection hidden="1"/>
    </xf>
    <xf numFmtId="0" fontId="21" fillId="33" borderId="0" xfId="0" applyNumberFormat="1" applyFont="1" applyFill="1" applyAlignment="1" applyProtection="1">
      <alignment horizontal="left"/>
      <protection hidden="1"/>
    </xf>
    <xf numFmtId="192" fontId="21" fillId="33" borderId="0" xfId="0" applyNumberFormat="1" applyFont="1" applyFill="1" applyAlignment="1" applyProtection="1">
      <alignment horizontal="left"/>
      <protection hidden="1"/>
    </xf>
    <xf numFmtId="1" fontId="9" fillId="33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2" fontId="0" fillId="33" borderId="25" xfId="0" applyNumberForma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49" fontId="2" fillId="33" borderId="0" xfId="0" applyNumberFormat="1" applyFont="1" applyFill="1" applyBorder="1" applyAlignment="1" applyProtection="1">
      <alignment horizontal="left"/>
      <protection hidden="1"/>
    </xf>
    <xf numFmtId="0" fontId="0" fillId="33" borderId="19" xfId="0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right"/>
      <protection hidden="1"/>
    </xf>
    <xf numFmtId="0" fontId="0" fillId="0" borderId="22" xfId="0" applyBorder="1" applyAlignment="1" applyProtection="1">
      <alignment/>
      <protection hidden="1"/>
    </xf>
    <xf numFmtId="49" fontId="0" fillId="0" borderId="15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190" fontId="6" fillId="0" borderId="0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2" fillId="0" borderId="15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16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190" fontId="6" fillId="0" borderId="19" xfId="0" applyNumberFormat="1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49" fontId="1" fillId="33" borderId="0" xfId="0" applyNumberFormat="1" applyFont="1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 horizontal="left"/>
      <protection hidden="1"/>
    </xf>
    <xf numFmtId="49" fontId="6" fillId="33" borderId="0" xfId="0" applyNumberFormat="1" applyFont="1" applyFill="1" applyBorder="1" applyAlignment="1" applyProtection="1">
      <alignment/>
      <protection hidden="1"/>
    </xf>
    <xf numFmtId="49" fontId="0" fillId="33" borderId="0" xfId="0" applyNumberFormat="1" applyFon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left"/>
      <protection hidden="1"/>
    </xf>
    <xf numFmtId="49" fontId="0" fillId="33" borderId="0" xfId="0" applyNumberFormat="1" applyFont="1" applyFill="1" applyBorder="1" applyAlignment="1" applyProtection="1">
      <alignment horizontal="left"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33" borderId="13" xfId="0" applyNumberFormat="1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/>
      <protection hidden="1"/>
    </xf>
    <xf numFmtId="0" fontId="0" fillId="33" borderId="14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14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2" fontId="3" fillId="33" borderId="0" xfId="0" applyNumberFormat="1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Border="1" applyAlignment="1" applyProtection="1">
      <alignment horizontal="left"/>
      <protection hidden="1"/>
    </xf>
    <xf numFmtId="0" fontId="1" fillId="33" borderId="0" xfId="0" applyNumberFormat="1" applyFont="1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 horizontal="left"/>
      <protection hidden="1"/>
    </xf>
    <xf numFmtId="188" fontId="3" fillId="0" borderId="27" xfId="0" applyNumberFormat="1" applyFont="1" applyFill="1" applyBorder="1" applyAlignment="1" applyProtection="1">
      <alignment/>
      <protection hidden="1" locked="0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" fontId="1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right"/>
      <protection hidden="1"/>
    </xf>
    <xf numFmtId="2" fontId="1" fillId="0" borderId="0" xfId="0" applyNumberFormat="1" applyFont="1" applyFill="1" applyBorder="1" applyAlignment="1" applyProtection="1">
      <alignment horizontal="left"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88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74" fillId="0" borderId="0" xfId="0" applyFont="1" applyAlignment="1">
      <alignment/>
    </xf>
    <xf numFmtId="0" fontId="0" fillId="0" borderId="15" xfId="0" applyFont="1" applyFill="1" applyBorder="1" applyAlignment="1" applyProtection="1">
      <alignment/>
      <protection hidden="1"/>
    </xf>
    <xf numFmtId="0" fontId="24" fillId="0" borderId="0" xfId="0" applyFont="1" applyAlignment="1">
      <alignment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 horizontal="center"/>
      <protection hidden="1"/>
    </xf>
    <xf numFmtId="0" fontId="9" fillId="33" borderId="22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left"/>
      <protection hidden="1"/>
    </xf>
    <xf numFmtId="2" fontId="0" fillId="0" borderId="21" xfId="0" applyNumberFormat="1" applyFont="1" applyFill="1" applyBorder="1" applyAlignment="1" applyProtection="1">
      <alignment horizontal="left"/>
      <protection hidden="1"/>
    </xf>
    <xf numFmtId="190" fontId="0" fillId="0" borderId="21" xfId="0" applyNumberFormat="1" applyFont="1" applyFill="1" applyBorder="1" applyAlignment="1" applyProtection="1">
      <alignment horizontal="left"/>
      <protection hidden="1"/>
    </xf>
    <xf numFmtId="190" fontId="0" fillId="0" borderId="22" xfId="0" applyNumberFormat="1" applyFont="1" applyFill="1" applyBorder="1" applyAlignment="1" applyProtection="1">
      <alignment horizontal="left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19" xfId="0" applyNumberFormat="1" applyFont="1" applyFill="1" applyBorder="1" applyAlignment="1" applyProtection="1">
      <alignment horizontal="left"/>
      <protection hidden="1" locked="0"/>
    </xf>
    <xf numFmtId="191" fontId="1" fillId="0" borderId="19" xfId="0" applyNumberFormat="1" applyFont="1" applyFill="1" applyBorder="1" applyAlignment="1" applyProtection="1">
      <alignment horizontal="left"/>
      <protection hidden="1" locked="0"/>
    </xf>
    <xf numFmtId="191" fontId="1" fillId="0" borderId="18" xfId="0" applyNumberFormat="1" applyFont="1" applyFill="1" applyBorder="1" applyAlignment="1" applyProtection="1">
      <alignment horizontal="left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49" fontId="1" fillId="0" borderId="20" xfId="0" applyNumberFormat="1" applyFont="1" applyBorder="1" applyAlignment="1" applyProtection="1">
      <alignment horizontal="center"/>
      <protection hidden="1"/>
    </xf>
    <xf numFmtId="49" fontId="1" fillId="0" borderId="21" xfId="0" applyNumberFormat="1" applyFont="1" applyBorder="1" applyAlignment="1" applyProtection="1">
      <alignment horizontal="center"/>
      <protection hidden="1"/>
    </xf>
    <xf numFmtId="49" fontId="1" fillId="0" borderId="22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16" xfId="0" applyFont="1" applyBorder="1" applyAlignment="1" applyProtection="1">
      <alignment horizontal="left"/>
      <protection hidden="1"/>
    </xf>
    <xf numFmtId="0" fontId="18" fillId="33" borderId="0" xfId="0" applyFont="1" applyFill="1" applyAlignment="1" applyProtection="1">
      <alignment horizontal="right"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43</xdr:row>
      <xdr:rowOff>104775</xdr:rowOff>
    </xdr:from>
    <xdr:to>
      <xdr:col>13</xdr:col>
      <xdr:colOff>533400</xdr:colOff>
      <xdr:row>54</xdr:row>
      <xdr:rowOff>95250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0" y="7677150"/>
          <a:ext cx="8496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</xdr:row>
      <xdr:rowOff>171450</xdr:rowOff>
    </xdr:from>
    <xdr:to>
      <xdr:col>2</xdr:col>
      <xdr:colOff>904875</xdr:colOff>
      <xdr:row>8</xdr:row>
      <xdr:rowOff>114300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953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2</xdr:col>
      <xdr:colOff>923925</xdr:colOff>
      <xdr:row>8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096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13</xdr:row>
      <xdr:rowOff>0</xdr:rowOff>
    </xdr:from>
    <xdr:to>
      <xdr:col>9</xdr:col>
      <xdr:colOff>523875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1038225"/>
          <a:ext cx="8496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4.28125" style="2" customWidth="1"/>
    <col min="2" max="2" width="4.00390625" style="2" customWidth="1"/>
    <col min="3" max="3" width="23.28125" style="2" customWidth="1"/>
    <col min="4" max="4" width="6.8515625" style="2" customWidth="1"/>
    <col min="5" max="5" width="5.8515625" style="2" customWidth="1"/>
    <col min="6" max="6" width="6.7109375" style="2" customWidth="1"/>
    <col min="7" max="7" width="7.8515625" style="2" bestFit="1" customWidth="1"/>
    <col min="8" max="8" width="12.8515625" style="2" customWidth="1"/>
    <col min="9" max="9" width="7.140625" style="2" customWidth="1"/>
    <col min="10" max="10" width="8.57421875" style="2" customWidth="1"/>
    <col min="11" max="11" width="6.7109375" style="2" customWidth="1"/>
    <col min="12" max="12" width="22.28125" style="2" customWidth="1"/>
    <col min="13" max="13" width="11.57421875" style="2" bestFit="1" customWidth="1"/>
    <col min="14" max="14" width="8.421875" style="2" customWidth="1"/>
    <col min="15" max="15" width="4.28125" style="2" customWidth="1"/>
    <col min="16" max="16" width="4.57421875" style="2" customWidth="1"/>
    <col min="17" max="16384" width="11.42187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"/>
    </row>
    <row r="3" spans="1:16" s="9" customFormat="1" ht="22.5" customHeight="1">
      <c r="A3" s="6"/>
      <c r="B3" s="7"/>
      <c r="C3" s="239" t="s">
        <v>248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8"/>
      <c r="P3" s="6"/>
    </row>
    <row r="4" spans="1:16" ht="19.5" customHeight="1">
      <c r="A4" s="1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"/>
    </row>
    <row r="5" spans="1:16" ht="19.5" customHeight="1">
      <c r="A5" s="1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"/>
    </row>
    <row r="6" spans="1:16" ht="19.5" customHeight="1">
      <c r="A6" s="1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"/>
    </row>
    <row r="7" spans="1:16" ht="19.5" customHeight="1">
      <c r="A7" s="1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"/>
    </row>
    <row r="8" spans="1:16" ht="19.5" customHeight="1" hidden="1">
      <c r="A8" s="1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"/>
    </row>
    <row r="9" spans="1:16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"/>
    </row>
    <row r="10" spans="1:16" ht="12.75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2"/>
      <c r="P10" s="1"/>
    </row>
    <row r="11" spans="1:16" ht="12.75">
      <c r="A11" s="1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2"/>
      <c r="P11" s="1"/>
    </row>
    <row r="12" spans="1:16" ht="12.7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2"/>
      <c r="P12" s="1"/>
    </row>
    <row r="13" spans="1:16" ht="12.75">
      <c r="A13" s="1"/>
      <c r="B13" s="10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"/>
    </row>
    <row r="14" spans="1:16" ht="12.75">
      <c r="A14" s="1"/>
      <c r="B14" s="10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"/>
    </row>
    <row r="15" spans="1:16" ht="15.75">
      <c r="A15" s="1"/>
      <c r="B15" s="10"/>
      <c r="C15" s="231" t="s">
        <v>0</v>
      </c>
      <c r="D15" s="232"/>
      <c r="E15" s="233"/>
      <c r="F15" s="11"/>
      <c r="G15" s="241" t="s">
        <v>82</v>
      </c>
      <c r="H15" s="242"/>
      <c r="I15" s="242"/>
      <c r="J15" s="242"/>
      <c r="K15" s="242"/>
      <c r="L15" s="242"/>
      <c r="M15" s="242"/>
      <c r="N15" s="243"/>
      <c r="O15" s="12"/>
      <c r="P15" s="1"/>
    </row>
    <row r="16" spans="1:16" ht="12.75">
      <c r="A16" s="1"/>
      <c r="B16" s="10"/>
      <c r="C16" s="13" t="s">
        <v>49</v>
      </c>
      <c r="D16" s="119">
        <v>5.2</v>
      </c>
      <c r="E16" s="14" t="s">
        <v>1</v>
      </c>
      <c r="F16" s="11"/>
      <c r="G16" s="237" t="s">
        <v>153</v>
      </c>
      <c r="H16" s="238"/>
      <c r="I16" s="15"/>
      <c r="J16" s="15"/>
      <c r="K16" s="16"/>
      <c r="L16" s="17" t="s">
        <v>63</v>
      </c>
      <c r="M16" s="18" t="s">
        <v>45</v>
      </c>
      <c r="N16" s="19"/>
      <c r="O16" s="12"/>
      <c r="P16" s="1"/>
    </row>
    <row r="17" spans="1:16" ht="14.25">
      <c r="A17" s="1"/>
      <c r="B17" s="10"/>
      <c r="C17" s="13" t="s">
        <v>50</v>
      </c>
      <c r="D17" s="120">
        <v>16</v>
      </c>
      <c r="E17" s="14" t="s">
        <v>2</v>
      </c>
      <c r="F17" s="11"/>
      <c r="G17" s="20" t="s">
        <v>66</v>
      </c>
      <c r="H17" s="21"/>
      <c r="I17" s="21"/>
      <c r="J17" s="21"/>
      <c r="K17" s="16"/>
      <c r="L17" s="16" t="s">
        <v>142</v>
      </c>
      <c r="M17" s="22">
        <f>I19/Zwischenresultate!L28</f>
        <v>0.5106631839300823</v>
      </c>
      <c r="N17" s="23" t="str">
        <f>IF(M17&lt;=1,"O.K.","Achtung")</f>
        <v>O.K.</v>
      </c>
      <c r="O17" s="12"/>
      <c r="P17" s="1"/>
    </row>
    <row r="18" spans="1:16" ht="14.25">
      <c r="A18" s="1"/>
      <c r="B18" s="10"/>
      <c r="C18" s="13" t="s">
        <v>52</v>
      </c>
      <c r="D18" s="120">
        <v>30</v>
      </c>
      <c r="E18" s="14" t="s">
        <v>2</v>
      </c>
      <c r="F18" s="11"/>
      <c r="G18" s="24" t="s">
        <v>69</v>
      </c>
      <c r="H18" s="25"/>
      <c r="I18" s="25"/>
      <c r="J18" s="25"/>
      <c r="K18" s="16"/>
      <c r="L18" s="16" t="s">
        <v>143</v>
      </c>
      <c r="M18" s="22">
        <f>I23/Zwischenresultate!L29</f>
        <v>0.45295438510169383</v>
      </c>
      <c r="N18" s="23" t="str">
        <f>IF(M18&lt;=1,"O.K.","Achtung")</f>
        <v>O.K.</v>
      </c>
      <c r="O18" s="12"/>
      <c r="P18" s="1"/>
    </row>
    <row r="19" spans="1:16" ht="14.25">
      <c r="A19" s="1"/>
      <c r="B19" s="10"/>
      <c r="C19" s="26" t="s">
        <v>51</v>
      </c>
      <c r="D19" s="121">
        <v>8</v>
      </c>
      <c r="E19" s="27" t="s">
        <v>2</v>
      </c>
      <c r="F19" s="11"/>
      <c r="G19" s="28" t="s">
        <v>35</v>
      </c>
      <c r="H19" s="29"/>
      <c r="I19" s="30">
        <f>-Zwischenresultate!L11*10^6/Zwischenresultate!G16*Zwischenresultate!C7*(Zwischenresultate!G11*Zwischenresultate!G15+D19*10/2)</f>
        <v>-5.77049397840993</v>
      </c>
      <c r="J19" s="16" t="s">
        <v>155</v>
      </c>
      <c r="K19" s="16"/>
      <c r="L19" s="16" t="s">
        <v>144</v>
      </c>
      <c r="M19" s="22">
        <f>3/2*(Zwischenresultate!L12*1000)/Zwischenresultate!L17</f>
        <v>0.2805065028306692</v>
      </c>
      <c r="N19" s="23" t="str">
        <f>IF(M19&lt;=1,"O.K.","Achtung")</f>
        <v>O.K.</v>
      </c>
      <c r="O19" s="12"/>
      <c r="P19" s="1"/>
    </row>
    <row r="20" spans="1:16" ht="12.75">
      <c r="A20" s="1"/>
      <c r="B20" s="10"/>
      <c r="C20" s="11"/>
      <c r="D20" s="11"/>
      <c r="E20" s="11"/>
      <c r="F20" s="11"/>
      <c r="G20" s="28" t="s">
        <v>36</v>
      </c>
      <c r="H20" s="29"/>
      <c r="I20" s="30">
        <f>-Zwischenresultate!L11*10^6/Zwischenresultate!G16*Zwischenresultate!C7*(Zwischenresultate!G11*Zwischenresultate!G15-D19*10/2)</f>
        <v>2.0925044021039505</v>
      </c>
      <c r="J20" s="16" t="s">
        <v>155</v>
      </c>
      <c r="K20" s="16"/>
      <c r="L20" s="16" t="s">
        <v>46</v>
      </c>
      <c r="M20" s="22">
        <f>Zwischenresultate!C11/Zwischenresultate!C10</f>
        <v>0.8139145853639982</v>
      </c>
      <c r="N20" s="23" t="str">
        <f>IF(M20&lt;=1,"O.K.","Achtung")</f>
        <v>O.K.</v>
      </c>
      <c r="O20" s="12"/>
      <c r="P20" s="1"/>
    </row>
    <row r="21" spans="1:16" ht="12.75">
      <c r="A21" s="1"/>
      <c r="B21" s="10"/>
      <c r="C21" s="262" t="s">
        <v>3</v>
      </c>
      <c r="D21" s="263"/>
      <c r="E21" s="264"/>
      <c r="F21" s="11"/>
      <c r="G21" s="24" t="s">
        <v>67</v>
      </c>
      <c r="H21" s="25"/>
      <c r="I21" s="25"/>
      <c r="J21" s="25"/>
      <c r="K21" s="16"/>
      <c r="L21" s="17" t="s">
        <v>64</v>
      </c>
      <c r="M21" s="16"/>
      <c r="N21" s="19"/>
      <c r="O21" s="12"/>
      <c r="P21" s="1"/>
    </row>
    <row r="22" spans="1:16" ht="12.75">
      <c r="A22" s="1"/>
      <c r="B22" s="10"/>
      <c r="C22" s="31" t="s">
        <v>9</v>
      </c>
      <c r="D22" s="32"/>
      <c r="E22" s="33"/>
      <c r="F22" s="11"/>
      <c r="G22" s="28" t="s">
        <v>37</v>
      </c>
      <c r="H22" s="29"/>
      <c r="I22" s="30">
        <f>Zwischenresultate!L11*10^6/Zwischenresultate!G16*(Zwischenresultate!G14-D18*10/2)</f>
        <v>-4.49464951009108</v>
      </c>
      <c r="J22" s="16" t="s">
        <v>155</v>
      </c>
      <c r="K22" s="16"/>
      <c r="L22" s="16" t="s">
        <v>78</v>
      </c>
      <c r="M22" s="34">
        <f>5*(Zwischenresultate!L6+Zwischenresultate!L7)*D18/100*D16^4/(384*Zwischenresultate!H16*10^-12*Zwischenresultate!C6*10^6)*1000</f>
        <v>5.904842069818328</v>
      </c>
      <c r="N22" s="19" t="s">
        <v>32</v>
      </c>
      <c r="O22" s="12"/>
      <c r="P22" s="1"/>
    </row>
    <row r="23" spans="1:16" ht="12.75">
      <c r="A23" s="1"/>
      <c r="B23" s="10"/>
      <c r="C23" s="31" t="s">
        <v>80</v>
      </c>
      <c r="D23" s="32"/>
      <c r="E23" s="33"/>
      <c r="F23" s="35"/>
      <c r="G23" s="28" t="s">
        <v>38</v>
      </c>
      <c r="H23" s="29"/>
      <c r="I23" s="30">
        <f>Zwischenresultate!L11*10^6/Zwischenresultate!G16*(Zwischenresultate!G14+D18*10/2)</f>
        <v>6.68978784150194</v>
      </c>
      <c r="J23" s="16" t="s">
        <v>155</v>
      </c>
      <c r="K23" s="16"/>
      <c r="L23" s="16" t="s">
        <v>48</v>
      </c>
      <c r="M23" s="125"/>
      <c r="N23" s="19"/>
      <c r="O23" s="12"/>
      <c r="P23" s="1"/>
    </row>
    <row r="24" spans="1:16" ht="12.75">
      <c r="A24" s="1"/>
      <c r="B24" s="10"/>
      <c r="C24" s="31" t="s">
        <v>81</v>
      </c>
      <c r="D24" s="32"/>
      <c r="E24" s="33"/>
      <c r="F24" s="11"/>
      <c r="G24" s="36" t="s">
        <v>13</v>
      </c>
      <c r="H24" s="37"/>
      <c r="I24" s="38">
        <f>3/2*(Zwischenresultate!L12)*1000/Zwischenresultate!L17</f>
        <v>0.2805065028306692</v>
      </c>
      <c r="J24" s="39" t="s">
        <v>155</v>
      </c>
      <c r="K24" s="39"/>
      <c r="L24" s="39" t="s">
        <v>85</v>
      </c>
      <c r="M24" s="40">
        <f>IF(M23="l/150",M22/(D16*1000/150),IF(M23="l/250",M22/(D16*1000/250),IF(M23="l/300",M22/(D16*1000/300),M22/(D16*1000/350))))</f>
        <v>0.39744129316084903</v>
      </c>
      <c r="N24" s="41" t="str">
        <f>IF(M24&lt;=1,"O.K.","Achtung")</f>
        <v>O.K.</v>
      </c>
      <c r="O24" s="12"/>
      <c r="P24" s="1"/>
    </row>
    <row r="25" spans="1:16" ht="14.25">
      <c r="A25" s="1"/>
      <c r="B25" s="10"/>
      <c r="C25" s="13" t="s">
        <v>4</v>
      </c>
      <c r="D25" s="122">
        <v>1.6</v>
      </c>
      <c r="E25" s="14" t="s">
        <v>26</v>
      </c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"/>
    </row>
    <row r="26" spans="1:16" ht="15.75">
      <c r="A26" s="1"/>
      <c r="B26" s="10"/>
      <c r="C26" s="13" t="s">
        <v>5</v>
      </c>
      <c r="D26" s="122">
        <v>2</v>
      </c>
      <c r="E26" s="14" t="s">
        <v>26</v>
      </c>
      <c r="F26" s="11"/>
      <c r="G26" s="241" t="s">
        <v>83</v>
      </c>
      <c r="H26" s="242"/>
      <c r="I26" s="242"/>
      <c r="J26" s="242"/>
      <c r="K26" s="242"/>
      <c r="L26" s="242"/>
      <c r="M26" s="242"/>
      <c r="N26" s="243"/>
      <c r="O26" s="12"/>
      <c r="P26" s="1"/>
    </row>
    <row r="27" spans="1:16" ht="12.75">
      <c r="A27" s="1"/>
      <c r="B27" s="10"/>
      <c r="C27" s="26" t="s">
        <v>40</v>
      </c>
      <c r="D27" s="123">
        <v>33</v>
      </c>
      <c r="E27" s="27" t="s">
        <v>33</v>
      </c>
      <c r="F27" s="11"/>
      <c r="G27" s="237" t="s">
        <v>153</v>
      </c>
      <c r="H27" s="238"/>
      <c r="I27" s="15"/>
      <c r="J27" s="15"/>
      <c r="K27" s="16"/>
      <c r="L27" s="17" t="s">
        <v>63</v>
      </c>
      <c r="M27" s="18" t="s">
        <v>45</v>
      </c>
      <c r="N27" s="19"/>
      <c r="O27" s="12"/>
      <c r="P27" s="1"/>
    </row>
    <row r="28" spans="1:16" ht="12.75">
      <c r="A28" s="1"/>
      <c r="B28" s="10"/>
      <c r="C28" s="11"/>
      <c r="D28" s="11"/>
      <c r="E28" s="11"/>
      <c r="F28" s="11"/>
      <c r="G28" s="20" t="s">
        <v>66</v>
      </c>
      <c r="H28" s="21"/>
      <c r="I28" s="21"/>
      <c r="J28" s="21"/>
      <c r="K28" s="16"/>
      <c r="L28" s="16" t="s">
        <v>142</v>
      </c>
      <c r="M28" s="22">
        <f>I30/Zwischenresultate!L28</f>
        <v>0.35339435520710627</v>
      </c>
      <c r="N28" s="23" t="str">
        <f>IF(M28&lt;=1,"O.K.","Achtung")</f>
        <v>O.K.</v>
      </c>
      <c r="O28" s="12"/>
      <c r="P28" s="1"/>
    </row>
    <row r="29" spans="1:16" ht="12.75">
      <c r="A29" s="1"/>
      <c r="B29" s="10"/>
      <c r="C29" s="231" t="s">
        <v>6</v>
      </c>
      <c r="D29" s="232"/>
      <c r="E29" s="233"/>
      <c r="F29" s="11"/>
      <c r="G29" s="24" t="s">
        <v>69</v>
      </c>
      <c r="H29" s="25"/>
      <c r="I29" s="25"/>
      <c r="J29" s="25"/>
      <c r="K29" s="16"/>
      <c r="L29" s="16" t="s">
        <v>143</v>
      </c>
      <c r="M29" s="22">
        <f>I34/Zwischenresultate!L29</f>
        <v>0.5238308322506979</v>
      </c>
      <c r="N29" s="23" t="str">
        <f>IF(M29&lt;=1,"O.K.","Achtung")</f>
        <v>O.K.</v>
      </c>
      <c r="O29" s="12"/>
      <c r="P29" s="1"/>
    </row>
    <row r="30" spans="1:16" ht="12.75">
      <c r="A30" s="1"/>
      <c r="B30" s="10"/>
      <c r="C30" s="13" t="s">
        <v>7</v>
      </c>
      <c r="D30" s="125" t="s">
        <v>247</v>
      </c>
      <c r="E30" s="42"/>
      <c r="F30" s="11"/>
      <c r="G30" s="28" t="s">
        <v>35</v>
      </c>
      <c r="H30" s="29"/>
      <c r="I30" s="30">
        <f>-Zwischenresultate!L11*10^6/Zwischenresultate!G33*Zwischenresultate!C24*(Zwischenresultate!G28*Zwischenresultate!G32+D19*10/2)</f>
        <v>-3.993356213840301</v>
      </c>
      <c r="J30" s="16" t="s">
        <v>155</v>
      </c>
      <c r="K30" s="16"/>
      <c r="L30" s="16" t="s">
        <v>144</v>
      </c>
      <c r="M30" s="22">
        <f>M19</f>
        <v>0.2805065028306692</v>
      </c>
      <c r="N30" s="23" t="str">
        <f>IF(M30&lt;=1,"O.K.","Achtung")</f>
        <v>O.K.</v>
      </c>
      <c r="O30" s="12"/>
      <c r="P30" s="1"/>
    </row>
    <row r="31" spans="1:16" ht="12.75">
      <c r="A31" s="1"/>
      <c r="B31" s="10"/>
      <c r="C31" s="13" t="s">
        <v>87</v>
      </c>
      <c r="D31" s="125" t="s">
        <v>245</v>
      </c>
      <c r="E31" s="42"/>
      <c r="F31" s="11"/>
      <c r="G31" s="28" t="s">
        <v>36</v>
      </c>
      <c r="H31" s="29"/>
      <c r="I31" s="30">
        <f>-Zwischenresultate!L11*10^6/Zwischenresultate!G33*Zwischenresultate!C24*(Zwischenresultate!G28*Zwischenresultate!G32-D19*10/2)</f>
        <v>0.2641865201592377</v>
      </c>
      <c r="J31" s="16" t="s">
        <v>155</v>
      </c>
      <c r="K31" s="16"/>
      <c r="L31" s="16" t="s">
        <v>46</v>
      </c>
      <c r="M31" s="22">
        <f>Zwischenresultate!C28/Zwischenresultate!C27</f>
        <v>0.8252404043061116</v>
      </c>
      <c r="N31" s="23" t="str">
        <f>IF(M31&lt;=1,"O.K.","Achtung")</f>
        <v>O.K.</v>
      </c>
      <c r="O31" s="12"/>
      <c r="P31" s="1"/>
    </row>
    <row r="32" spans="1:16" ht="12.75">
      <c r="A32" s="1"/>
      <c r="B32" s="10"/>
      <c r="C32" s="13"/>
      <c r="D32" s="43"/>
      <c r="E32" s="44"/>
      <c r="F32" s="11"/>
      <c r="G32" s="24" t="s">
        <v>67</v>
      </c>
      <c r="H32" s="25"/>
      <c r="I32" s="25"/>
      <c r="J32" s="25"/>
      <c r="K32" s="16"/>
      <c r="L32" s="17" t="s">
        <v>64</v>
      </c>
      <c r="M32" s="16"/>
      <c r="N32" s="19"/>
      <c r="O32" s="12"/>
      <c r="P32" s="1"/>
    </row>
    <row r="33" spans="1:16" ht="12.75">
      <c r="A33" s="1"/>
      <c r="B33" s="10"/>
      <c r="C33" s="13"/>
      <c r="D33" s="43"/>
      <c r="E33" s="44"/>
      <c r="F33" s="11"/>
      <c r="G33" s="28" t="s">
        <v>37</v>
      </c>
      <c r="H33" s="29"/>
      <c r="I33" s="30">
        <f>Zwischenresultate!L11*10^6/Zwischenresultate!G33*(Zwischenresultate!G31-D18*10/2)</f>
        <v>-5.510894231631905</v>
      </c>
      <c r="J33" s="16" t="s">
        <v>155</v>
      </c>
      <c r="K33" s="16"/>
      <c r="L33" s="16" t="s">
        <v>84</v>
      </c>
      <c r="M33" s="34">
        <f>5*(Zwischenresultate!L6/(Zwischenresultate!H33*10^-12*Zwischenresultate!C23*10^6)+Zwischenresultate!L7/(Zwischenresultate!H16*10^-12*Zwischenresultate!C6*10^6))*D18/100*D16^4/384*1000</f>
        <v>10.37649944377128</v>
      </c>
      <c r="N33" s="19" t="s">
        <v>32</v>
      </c>
      <c r="O33" s="12"/>
      <c r="P33" s="1"/>
    </row>
    <row r="34" spans="1:16" ht="12.75">
      <c r="A34" s="1"/>
      <c r="B34" s="10"/>
      <c r="C34" s="234" t="s">
        <v>8</v>
      </c>
      <c r="D34" s="235"/>
      <c r="E34" s="236"/>
      <c r="F34" s="11"/>
      <c r="G34" s="28" t="s">
        <v>38</v>
      </c>
      <c r="H34" s="29"/>
      <c r="I34" s="30">
        <f>Zwischenresultate!L11*10^6/Zwischenresultate!G33*(Zwischenresultate!G31+D18*10/2)</f>
        <v>7.736578445548769</v>
      </c>
      <c r="J34" s="16" t="s">
        <v>155</v>
      </c>
      <c r="K34" s="16"/>
      <c r="L34" s="16" t="s">
        <v>48</v>
      </c>
      <c r="M34" s="125" t="s">
        <v>156</v>
      </c>
      <c r="N34" s="19"/>
      <c r="O34" s="12"/>
      <c r="P34" s="1"/>
    </row>
    <row r="35" spans="1:16" ht="12.75">
      <c r="A35" s="1"/>
      <c r="B35" s="10"/>
      <c r="C35" s="45" t="s">
        <v>47</v>
      </c>
      <c r="D35" s="121">
        <v>120</v>
      </c>
      <c r="E35" s="46" t="s">
        <v>32</v>
      </c>
      <c r="F35" s="11"/>
      <c r="G35" s="36" t="s">
        <v>13</v>
      </c>
      <c r="H35" s="37"/>
      <c r="I35" s="38">
        <f>I24</f>
        <v>0.2805065028306692</v>
      </c>
      <c r="J35" s="39" t="s">
        <v>155</v>
      </c>
      <c r="K35" s="39"/>
      <c r="L35" s="39" t="s">
        <v>53</v>
      </c>
      <c r="M35" s="40">
        <f>IF(M34="l/150",M33/(D16*1000/150),IF(M34="l/250",M33/(D16*1000/250),IF(M34="l/300",M33/(D16*1000/300),M33/(D16*1000/350))))</f>
        <v>0.5986441986791123</v>
      </c>
      <c r="N35" s="41" t="str">
        <f>IF(M35&lt;=1,"O.K.","Achtung")</f>
        <v>O.K.</v>
      </c>
      <c r="O35" s="12"/>
      <c r="P35" s="1"/>
    </row>
    <row r="36" spans="1:16" ht="12.75">
      <c r="A36" s="1"/>
      <c r="B36" s="10"/>
      <c r="C36" s="11"/>
      <c r="D36" s="47"/>
      <c r="E36" s="11"/>
      <c r="F36" s="11"/>
      <c r="G36" s="48"/>
      <c r="H36" s="48"/>
      <c r="I36" s="49"/>
      <c r="J36" s="11"/>
      <c r="K36" s="11"/>
      <c r="L36" s="11"/>
      <c r="M36" s="50"/>
      <c r="N36" s="51"/>
      <c r="O36" s="12"/>
      <c r="P36" s="1"/>
    </row>
    <row r="37" spans="1:16" ht="12.75">
      <c r="A37" s="1"/>
      <c r="B37" s="10"/>
      <c r="C37" s="72" t="s">
        <v>243</v>
      </c>
      <c r="D37" s="47"/>
      <c r="E37" s="11"/>
      <c r="F37" s="11"/>
      <c r="G37" s="48"/>
      <c r="H37" s="48"/>
      <c r="I37" s="49"/>
      <c r="J37" s="11"/>
      <c r="K37" s="11"/>
      <c r="L37" s="11"/>
      <c r="M37" s="50"/>
      <c r="N37" s="51"/>
      <c r="O37" s="12"/>
      <c r="P37" s="1"/>
    </row>
    <row r="38" spans="1:16" ht="12.75">
      <c r="A38" s="1"/>
      <c r="B38" s="10"/>
      <c r="C38" s="11"/>
      <c r="D38" s="49"/>
      <c r="E38" s="11"/>
      <c r="F38" s="11"/>
      <c r="G38" s="48"/>
      <c r="H38" s="48"/>
      <c r="I38" s="49"/>
      <c r="J38" s="11"/>
      <c r="K38" s="11"/>
      <c r="L38" s="11"/>
      <c r="M38" s="50"/>
      <c r="N38" s="51"/>
      <c r="O38" s="12"/>
      <c r="P38" s="1"/>
    </row>
    <row r="39" spans="1:16" s="60" customFormat="1" ht="15.75">
      <c r="A39" s="52"/>
      <c r="B39" s="53"/>
      <c r="C39" s="54" t="s">
        <v>90</v>
      </c>
      <c r="D39" s="55"/>
      <c r="E39" s="54"/>
      <c r="F39" s="54"/>
      <c r="G39" s="56"/>
      <c r="H39" s="56"/>
      <c r="I39" s="55"/>
      <c r="J39" s="54"/>
      <c r="K39" s="54"/>
      <c r="L39" s="54"/>
      <c r="M39" s="57"/>
      <c r="N39" s="58"/>
      <c r="O39" s="59"/>
      <c r="P39" s="52"/>
    </row>
    <row r="40" spans="1:16" ht="12.75" customHeight="1">
      <c r="A40" s="1"/>
      <c r="B40" s="10"/>
      <c r="C40" s="11"/>
      <c r="D40" s="49"/>
      <c r="E40" s="11"/>
      <c r="F40" s="11"/>
      <c r="G40" s="48"/>
      <c r="H40" s="48"/>
      <c r="I40" s="49"/>
      <c r="J40" s="11"/>
      <c r="K40" s="11"/>
      <c r="L40" s="11"/>
      <c r="M40" s="50"/>
      <c r="N40" s="51"/>
      <c r="O40" s="12"/>
      <c r="P40" s="1"/>
    </row>
    <row r="41" spans="1:16" ht="12.75" customHeight="1">
      <c r="A41" s="1"/>
      <c r="B41" s="10"/>
      <c r="C41" s="61" t="s">
        <v>91</v>
      </c>
      <c r="D41" s="62"/>
      <c r="E41" s="244" t="s">
        <v>92</v>
      </c>
      <c r="F41" s="244"/>
      <c r="G41" s="244"/>
      <c r="H41" s="63"/>
      <c r="I41" s="245" t="s">
        <v>93</v>
      </c>
      <c r="J41" s="245"/>
      <c r="K41" s="245"/>
      <c r="L41" s="64"/>
      <c r="M41" s="246" t="s">
        <v>94</v>
      </c>
      <c r="N41" s="247"/>
      <c r="O41" s="12"/>
      <c r="P41" s="1"/>
    </row>
    <row r="42" spans="1:16" ht="12.75" customHeight="1">
      <c r="A42" s="1"/>
      <c r="B42" s="10"/>
      <c r="C42" s="127"/>
      <c r="D42" s="38"/>
      <c r="E42" s="251"/>
      <c r="F42" s="251"/>
      <c r="G42" s="251"/>
      <c r="H42" s="37"/>
      <c r="I42" s="251"/>
      <c r="J42" s="251"/>
      <c r="K42" s="251"/>
      <c r="L42" s="39"/>
      <c r="M42" s="252"/>
      <c r="N42" s="253"/>
      <c r="O42" s="12"/>
      <c r="P42" s="1"/>
    </row>
    <row r="43" spans="1:16" ht="12.75" customHeight="1">
      <c r="A43" s="1"/>
      <c r="B43" s="10"/>
      <c r="C43" s="65"/>
      <c r="D43" s="49"/>
      <c r="E43" s="65"/>
      <c r="F43" s="65"/>
      <c r="G43" s="65"/>
      <c r="H43" s="48"/>
      <c r="I43" s="66"/>
      <c r="J43" s="66"/>
      <c r="K43" s="66"/>
      <c r="L43" s="11"/>
      <c r="M43" s="67"/>
      <c r="N43" s="67"/>
      <c r="O43" s="12"/>
      <c r="P43" s="1"/>
    </row>
    <row r="44" spans="1:16" s="68" customFormat="1" ht="12.75" customHeight="1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9"/>
      <c r="P44" s="52"/>
    </row>
    <row r="45" spans="1:16" s="69" customFormat="1" ht="14.25" customHeight="1">
      <c r="A45" s="1"/>
      <c r="B45" s="10"/>
      <c r="C45" s="256" t="s">
        <v>104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12"/>
      <c r="P45" s="1"/>
    </row>
    <row r="46" spans="1:16" s="74" customFormat="1" ht="15" customHeight="1">
      <c r="A46" s="70"/>
      <c r="B46" s="71"/>
      <c r="C46" s="72"/>
      <c r="D46" s="72"/>
      <c r="E46" s="72"/>
      <c r="F46" s="72"/>
      <c r="G46" s="259" t="s">
        <v>65</v>
      </c>
      <c r="H46" s="259"/>
      <c r="I46" s="259"/>
      <c r="J46" s="51">
        <f>E57</f>
        <v>1</v>
      </c>
      <c r="K46" s="72"/>
      <c r="L46" s="72"/>
      <c r="M46" s="72"/>
      <c r="N46" s="72"/>
      <c r="O46" s="73"/>
      <c r="P46" s="70"/>
    </row>
    <row r="47" spans="1:16" ht="15" customHeigh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"/>
    </row>
    <row r="48" spans="1:16" ht="15" customHeigh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  <c r="P48" s="1"/>
    </row>
    <row r="49" spans="1:16" ht="15" customHeigh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  <c r="P49" s="1"/>
    </row>
    <row r="50" spans="1:16" s="74" customFormat="1" ht="15" customHeight="1">
      <c r="A50" s="70"/>
      <c r="B50" s="71"/>
      <c r="C50" s="75" t="s">
        <v>62</v>
      </c>
      <c r="D50" s="76">
        <f>E58</f>
        <v>120</v>
      </c>
      <c r="E50" s="72"/>
      <c r="F50" s="72"/>
      <c r="G50" s="77" t="s">
        <v>47</v>
      </c>
      <c r="H50" s="76">
        <f>E59</f>
        <v>240</v>
      </c>
      <c r="I50" s="72"/>
      <c r="J50" s="77" t="s">
        <v>61</v>
      </c>
      <c r="K50" s="76">
        <f>E59</f>
        <v>240</v>
      </c>
      <c r="L50" s="75" t="s">
        <v>47</v>
      </c>
      <c r="M50" s="76">
        <f>E58</f>
        <v>120</v>
      </c>
      <c r="N50" s="72"/>
      <c r="O50" s="73"/>
      <c r="P50" s="70"/>
    </row>
    <row r="51" spans="1:16" s="74" customFormat="1" ht="15" customHeight="1">
      <c r="A51" s="70"/>
      <c r="B51" s="71"/>
      <c r="C51" s="49">
        <f>D16/4</f>
        <v>1.3</v>
      </c>
      <c r="D51" s="72" t="s">
        <v>1</v>
      </c>
      <c r="E51" s="72"/>
      <c r="F51" s="72"/>
      <c r="G51" s="78">
        <f>D16/4</f>
        <v>1.3</v>
      </c>
      <c r="H51" s="65" t="s">
        <v>1</v>
      </c>
      <c r="I51" s="72"/>
      <c r="J51" s="78">
        <f>D16/4</f>
        <v>1.3</v>
      </c>
      <c r="K51" s="79" t="s">
        <v>1</v>
      </c>
      <c r="L51" s="78">
        <f>D16/4</f>
        <v>1.3</v>
      </c>
      <c r="M51" s="79" t="s">
        <v>1</v>
      </c>
      <c r="N51" s="72"/>
      <c r="O51" s="73"/>
      <c r="P51" s="70"/>
    </row>
    <row r="52" spans="1:16" s="74" customFormat="1" ht="15" customHeight="1">
      <c r="A52" s="70"/>
      <c r="B52" s="71"/>
      <c r="C52" s="79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0"/>
    </row>
    <row r="53" spans="1:16" s="74" customFormat="1" ht="15" customHeight="1">
      <c r="A53" s="70"/>
      <c r="B53" s="71"/>
      <c r="C53" s="72"/>
      <c r="D53" s="72"/>
      <c r="E53" s="72"/>
      <c r="F53" s="72"/>
      <c r="G53" s="72"/>
      <c r="H53" s="72"/>
      <c r="I53" s="66">
        <f>D16</f>
        <v>5.2</v>
      </c>
      <c r="J53" s="72" t="s">
        <v>1</v>
      </c>
      <c r="K53" s="72"/>
      <c r="L53" s="72"/>
      <c r="M53" s="72"/>
      <c r="N53" s="72"/>
      <c r="O53" s="73"/>
      <c r="P53" s="70"/>
    </row>
    <row r="54" spans="1:16" ht="15" customHeigh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  <c r="P54" s="1"/>
    </row>
    <row r="55" spans="1:16" ht="14.25" customHeigh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"/>
    </row>
    <row r="56" spans="1:16" ht="14.25" customHeight="1">
      <c r="A56" s="1"/>
      <c r="B56" s="10"/>
      <c r="C56" s="248" t="s">
        <v>54</v>
      </c>
      <c r="D56" s="249"/>
      <c r="E56" s="249"/>
      <c r="F56" s="250"/>
      <c r="G56" s="11"/>
      <c r="H56" s="80"/>
      <c r="I56" s="81"/>
      <c r="J56" s="81"/>
      <c r="K56" s="81"/>
      <c r="L56" s="81"/>
      <c r="M56" s="81"/>
      <c r="N56" s="82"/>
      <c r="O56" s="12"/>
      <c r="P56" s="1"/>
    </row>
    <row r="57" spans="1:16" ht="14.25" customHeight="1">
      <c r="A57" s="1"/>
      <c r="B57" s="10"/>
      <c r="C57" s="260" t="s">
        <v>60</v>
      </c>
      <c r="D57" s="261"/>
      <c r="E57" s="18">
        <f>ROUNDDOWN(79.99/D35,0)+1</f>
        <v>1</v>
      </c>
      <c r="F57" s="19"/>
      <c r="G57" s="11"/>
      <c r="H57" s="83"/>
      <c r="I57" s="84" t="str">
        <f>IF(E60&gt;0,"Die Längsabstände der Verbinder sind in mm angegeben. ","Die Mindestabstände der Verbundelemente sind nicht eingehalten !")</f>
        <v>Die Längsabstände der Verbinder sind in mm angegeben. </v>
      </c>
      <c r="J57" s="84"/>
      <c r="K57" s="84"/>
      <c r="L57" s="84"/>
      <c r="M57" s="84"/>
      <c r="N57" s="85"/>
      <c r="O57" s="12"/>
      <c r="P57" s="1"/>
    </row>
    <row r="58" spans="1:16" ht="14.25" customHeight="1">
      <c r="A58" s="1"/>
      <c r="B58" s="10"/>
      <c r="C58" s="86" t="s">
        <v>55</v>
      </c>
      <c r="D58" s="16"/>
      <c r="E58" s="87">
        <f>IF(D35*E57&lt;=320,D35*E57,320)</f>
        <v>120</v>
      </c>
      <c r="F58" s="19" t="s">
        <v>32</v>
      </c>
      <c r="G58" s="11"/>
      <c r="H58" s="83"/>
      <c r="I58" s="254" t="str">
        <f>IF(E60&gt;0,"Der Mindestabstand quer zur Tragrichtung zwischen den  "," ")</f>
        <v>Der Mindestabstand quer zur Tragrichtung zwischen den  </v>
      </c>
      <c r="J58" s="254"/>
      <c r="K58" s="254"/>
      <c r="L58" s="254"/>
      <c r="M58" s="254"/>
      <c r="N58" s="85"/>
      <c r="O58" s="12"/>
      <c r="P58" s="1"/>
    </row>
    <row r="59" spans="1:16" ht="14.25" customHeight="1">
      <c r="A59" s="1"/>
      <c r="B59" s="10"/>
      <c r="C59" s="86" t="s">
        <v>56</v>
      </c>
      <c r="D59" s="16"/>
      <c r="E59" s="87">
        <f>IF(2*D35*E57&lt;=320,2*D35*E57,320)</f>
        <v>240</v>
      </c>
      <c r="F59" s="19" t="s">
        <v>32</v>
      </c>
      <c r="G59" s="11"/>
      <c r="H59" s="83"/>
      <c r="I59" s="254" t="str">
        <f>IF(E60&gt;0,"Reihen und den Balkenrändern beträgt 30mm. ","Vergrössern Sie den Abstand in Zelle C35.")</f>
        <v>Reihen und den Balkenrändern beträgt 30mm. </v>
      </c>
      <c r="J59" s="254"/>
      <c r="K59" s="254"/>
      <c r="L59" s="254"/>
      <c r="M59" s="254"/>
      <c r="N59" s="85"/>
      <c r="O59" s="12"/>
      <c r="P59" s="1"/>
    </row>
    <row r="60" spans="1:16" ht="14.25" customHeight="1">
      <c r="A60" s="1"/>
      <c r="B60" s="10"/>
      <c r="C60" s="86" t="s">
        <v>57</v>
      </c>
      <c r="D60" s="16"/>
      <c r="E60" s="87">
        <f>IF(D17/(J46+1)&gt;=3,2*E57*(ROUNDDOWN(D16/4*1000/E58,0)+ROUNDDOWN(D16/4*1000/E59,0)),0)</f>
        <v>30</v>
      </c>
      <c r="F60" s="19" t="s">
        <v>58</v>
      </c>
      <c r="G60" s="11"/>
      <c r="H60" s="83"/>
      <c r="I60" s="254" t="str">
        <f>IF(E60&gt;0,"Die Neigung der Verbundelemente beträgt 45°. "," ")</f>
        <v>Die Neigung der Verbundelemente beträgt 45°. </v>
      </c>
      <c r="J60" s="254"/>
      <c r="K60" s="254"/>
      <c r="L60" s="254"/>
      <c r="M60" s="254"/>
      <c r="N60" s="85"/>
      <c r="O60" s="12"/>
      <c r="P60" s="1"/>
    </row>
    <row r="61" spans="1:16" ht="14.25" customHeight="1">
      <c r="A61" s="1"/>
      <c r="B61" s="10"/>
      <c r="C61" s="257" t="s">
        <v>68</v>
      </c>
      <c r="D61" s="258"/>
      <c r="E61" s="88">
        <f>E60/(D16*D18/100)</f>
        <v>19.23076923076923</v>
      </c>
      <c r="F61" s="46" t="s">
        <v>58</v>
      </c>
      <c r="G61" s="11"/>
      <c r="H61" s="89"/>
      <c r="I61" s="90"/>
      <c r="J61" s="90"/>
      <c r="K61" s="90"/>
      <c r="L61" s="90"/>
      <c r="M61" s="90"/>
      <c r="N61" s="91"/>
      <c r="O61" s="12"/>
      <c r="P61" s="1"/>
    </row>
    <row r="62" spans="1:16" ht="14.25" customHeight="1">
      <c r="A62" s="1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"/>
    </row>
    <row r="63" spans="1:16" ht="14.25" customHeight="1">
      <c r="A63" s="1"/>
      <c r="B63" s="92" t="s">
        <v>246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145"/>
      <c r="P63" s="1"/>
    </row>
    <row r="64" spans="1:1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5" s="94" customFormat="1" ht="14.25" customHeight="1">
      <c r="C67" s="255" t="s">
        <v>97</v>
      </c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</row>
    <row r="68" spans="2:15" ht="14.25" customHeight="1">
      <c r="B68" s="69"/>
      <c r="C68" s="95" t="s">
        <v>98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7"/>
    </row>
    <row r="69" spans="3:15" ht="14.25" customHeight="1">
      <c r="C69" s="221" t="s">
        <v>157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7"/>
    </row>
    <row r="70" spans="3:15" ht="14.25" customHeight="1">
      <c r="C70" s="96" t="s">
        <v>99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3:15" ht="14.25" customHeight="1">
      <c r="C71" s="96" t="s">
        <v>103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3" s="74" customFormat="1" ht="12.75">
      <c r="C73" s="74" t="s">
        <v>100</v>
      </c>
    </row>
    <row r="74" spans="3:15" ht="14.25" customHeight="1">
      <c r="C74" s="96" t="s">
        <v>95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3:15" ht="14.25" customHeight="1">
      <c r="C75" s="96" t="s">
        <v>96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7"/>
    </row>
    <row r="76" spans="3:15" ht="14.25" customHeight="1">
      <c r="C76" s="96" t="s">
        <v>101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3:15" ht="14.25" customHeight="1">
      <c r="C77" s="96" t="s">
        <v>102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sheetProtection password="8EEB" sheet="1" formatCells="0" formatColumns="0" formatRows="0" insertColumns="0" insertRows="0" insertHyperlinks="0" deleteColumns="0" deleteRows="0" sort="0" autoFilter="0" pivotTables="0"/>
  <mergeCells count="24">
    <mergeCell ref="I60:M60"/>
    <mergeCell ref="C67:O67"/>
    <mergeCell ref="C15:E15"/>
    <mergeCell ref="C45:N45"/>
    <mergeCell ref="C61:D61"/>
    <mergeCell ref="I58:M58"/>
    <mergeCell ref="I59:M59"/>
    <mergeCell ref="G46:I46"/>
    <mergeCell ref="C57:D57"/>
    <mergeCell ref="C21:E21"/>
    <mergeCell ref="E41:G41"/>
    <mergeCell ref="I41:K41"/>
    <mergeCell ref="M41:N41"/>
    <mergeCell ref="C56:F56"/>
    <mergeCell ref="E42:G42"/>
    <mergeCell ref="I42:K42"/>
    <mergeCell ref="M42:N42"/>
    <mergeCell ref="C29:E29"/>
    <mergeCell ref="C34:E34"/>
    <mergeCell ref="G27:H27"/>
    <mergeCell ref="C3:N3"/>
    <mergeCell ref="G16:H16"/>
    <mergeCell ref="G26:N26"/>
    <mergeCell ref="G15:N15"/>
  </mergeCells>
  <dataValidations count="12">
    <dataValidation type="decimal" allowBlank="1" showInputMessage="1" showErrorMessage="1" errorTitle="Fehleingabe" error="Für Spannweiten dieser Grösse ist dieses Programm nicht geeignet." sqref="D16">
      <formula1>0.5</formula1>
      <formula2>15</formula2>
    </dataValidation>
    <dataValidation type="list" allowBlank="1" showInputMessage="1" showErrorMessage="1" sqref="D30">
      <formula1>"C24,C30,GL24h,GL28h"</formula1>
    </dataValidation>
    <dataValidation type="list" allowBlank="1" showInputMessage="1" showErrorMessage="1" sqref="D31">
      <formula1>"C20/25,C25/30,C30/37"</formula1>
    </dataValidation>
    <dataValidation type="decimal" allowBlank="1" showInputMessage="1" showErrorMessage="1" errorTitle="Fehleingabe" error="Der maximale Abstand in Tragrichtung beträgt 320 mm." sqref="D35:D37">
      <formula1>0</formula1>
      <formula2>320</formula2>
    </dataValidation>
    <dataValidation type="list" allowBlank="1" showInputMessage="1" showErrorMessage="1" sqref="M23 M34">
      <formula1>"l/350,l/300,l/250,"</formula1>
    </dataValidation>
    <dataValidation errorStyle="warning" operator="lessThanOrEqual" allowBlank="1" showInputMessage="1" showErrorMessage="1" errorTitle="Warnung" error="Der Nachweis ist nicht erfüllt." sqref="M17 M28"/>
    <dataValidation errorStyle="warning" operator="lessThanOrEqual" allowBlank="1" showInputMessage="1" showErrorMessage="1" errorTitle="Achtung" error="Der Nachweis ist nicht erfüllt." sqref="M20 M31"/>
    <dataValidation type="decimal" allowBlank="1" showInputMessage="1" showErrorMessage="1" errorTitle="Fehleingabe" error="Prüfen Sie bitte die Eingabe." sqref="D25:D26">
      <formula1>0</formula1>
      <formula2>20</formula2>
    </dataValidation>
    <dataValidation type="decimal" allowBlank="1" showInputMessage="1" showErrorMessage="1" errorTitle="Fehler" error="Korrigieren Sie den Wert in %." sqref="D27">
      <formula1>0</formula1>
      <formula2>100</formula2>
    </dataValidation>
    <dataValidation type="decimal" allowBlank="1" showInputMessage="1" showErrorMessage="1" errorTitle="Fehler" error="Korrigieren Sie bitte den Wert in %." sqref="D32:D33">
      <formula1>0</formula1>
      <formula2>300</formula2>
    </dataValidation>
    <dataValidation type="decimal" operator="greaterThan" allowBlank="1" showInputMessage="1" showErrorMessage="1" sqref="D17">
      <formula1>5</formula1>
    </dataValidation>
    <dataValidation type="decimal" operator="greaterThanOrEqual" allowBlank="1" showInputMessage="1" showErrorMessage="1" errorTitle="Fehleingabe" error="Die Betonplatte muss mindestens 6cm stark sein." sqref="D19">
      <formula1>6</formula1>
    </dataValidation>
  </dataValidations>
  <printOptions/>
  <pageMargins left="0.5905511811023623" right="0.5905511811023623" top="0.5905511811023623" bottom="0.4724409448818898" header="0.3937007874015748" footer="0.5118110236220472"/>
  <pageSetup fitToHeight="1" fitToWidth="1" horizontalDpi="300" verticalDpi="300" orientation="portrait" paperSize="9" scale="63" r:id="rId4"/>
  <headerFooter alignWithMargins="0">
    <oddFooter>&amp;L&amp;F&amp;C
&amp;R&amp;D</oddFooter>
  </headerFooter>
  <drawing r:id="rId3"/>
  <legacyDrawing r:id="rId2"/>
  <oleObjects>
    <oleObject progId="Photoshop.Image.6" shapeId="128516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4.28125" style="2" customWidth="1"/>
    <col min="2" max="2" width="4.00390625" style="2" customWidth="1"/>
    <col min="3" max="3" width="23.28125" style="2" customWidth="1"/>
    <col min="4" max="4" width="6.8515625" style="2" customWidth="1"/>
    <col min="5" max="5" width="5.8515625" style="2" customWidth="1"/>
    <col min="6" max="6" width="5.7109375" style="2" customWidth="1"/>
    <col min="7" max="7" width="7.8515625" style="2" customWidth="1"/>
    <col min="8" max="8" width="12.421875" style="2" customWidth="1"/>
    <col min="9" max="9" width="7.140625" style="2" customWidth="1"/>
    <col min="10" max="10" width="10.57421875" style="2" customWidth="1"/>
    <col min="11" max="11" width="5.7109375" style="2" customWidth="1"/>
    <col min="12" max="12" width="22.28125" style="2" customWidth="1"/>
    <col min="13" max="13" width="11.57421875" style="2" customWidth="1"/>
    <col min="14" max="14" width="8.421875" style="2" customWidth="1"/>
    <col min="15" max="16" width="4.28125" style="2" customWidth="1"/>
    <col min="17" max="16384" width="11.42187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1"/>
    </row>
    <row r="3" spans="1:16" ht="21.75" customHeight="1">
      <c r="A3" s="1"/>
      <c r="B3" s="10"/>
      <c r="C3" s="239" t="s">
        <v>249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2"/>
      <c r="P3" s="1"/>
    </row>
    <row r="4" spans="1:16" ht="19.5" customHeight="1">
      <c r="A4" s="1"/>
      <c r="B4" s="10"/>
      <c r="C4" s="240" t="s">
        <v>114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12"/>
      <c r="P4" s="1"/>
    </row>
    <row r="5" spans="1:16" ht="19.5" customHeight="1">
      <c r="A5" s="1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"/>
    </row>
    <row r="6" spans="1:16" ht="19.5" customHeight="1">
      <c r="A6" s="1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"/>
    </row>
    <row r="7" spans="1:16" ht="19.5" customHeight="1">
      <c r="A7" s="1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"/>
    </row>
    <row r="8" spans="1:16" ht="19.5" customHeight="1">
      <c r="A8" s="1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"/>
    </row>
    <row r="9" spans="1:16" ht="19.5" customHeight="1">
      <c r="A9" s="1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"/>
    </row>
    <row r="10" spans="1:16" ht="19.5" customHeight="1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"/>
    </row>
    <row r="11" spans="1:16" ht="19.5" customHeight="1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"/>
    </row>
    <row r="12" spans="1:16" ht="18.75" customHeight="1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"/>
    </row>
    <row r="13" spans="1:16" ht="19.5" customHeight="1">
      <c r="A13" s="1"/>
      <c r="B13" s="10"/>
      <c r="C13" s="268" t="s">
        <v>115</v>
      </c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12"/>
      <c r="P13" s="1"/>
    </row>
    <row r="14" spans="1:16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"/>
    </row>
    <row r="15" spans="1:16" ht="14.25">
      <c r="A15" s="1"/>
      <c r="B15" s="10"/>
      <c r="C15" s="150" t="s">
        <v>116</v>
      </c>
      <c r="D15" s="151"/>
      <c r="E15" s="151"/>
      <c r="F15" s="151"/>
      <c r="G15" s="151"/>
      <c r="H15" s="151"/>
      <c r="I15" s="152"/>
      <c r="J15" s="202">
        <v>1</v>
      </c>
      <c r="K15" s="153" t="s">
        <v>26</v>
      </c>
      <c r="L15" s="130"/>
      <c r="M15" s="130"/>
      <c r="N15" s="130"/>
      <c r="O15" s="12"/>
      <c r="P15" s="1"/>
    </row>
    <row r="16" spans="1:16" ht="12.75">
      <c r="A16" s="1"/>
      <c r="B16" s="10"/>
      <c r="C16" s="130"/>
      <c r="D16" s="197"/>
      <c r="E16" s="130"/>
      <c r="F16" s="130"/>
      <c r="G16" s="154"/>
      <c r="H16" s="154"/>
      <c r="I16" s="154"/>
      <c r="J16" s="154"/>
      <c r="K16" s="130"/>
      <c r="L16" s="155"/>
      <c r="M16" s="198"/>
      <c r="N16" s="198"/>
      <c r="O16" s="12"/>
      <c r="P16" s="1"/>
    </row>
    <row r="17" spans="1:16" ht="12.75">
      <c r="A17" s="1"/>
      <c r="B17" s="10"/>
      <c r="C17" s="156" t="s">
        <v>117</v>
      </c>
      <c r="D17" s="146"/>
      <c r="E17" s="147"/>
      <c r="F17" s="130"/>
      <c r="G17" s="156" t="s">
        <v>139</v>
      </c>
      <c r="H17" s="146"/>
      <c r="I17" s="146"/>
      <c r="J17" s="147"/>
      <c r="K17" s="11"/>
      <c r="L17" s="157" t="s">
        <v>63</v>
      </c>
      <c r="M17" s="158" t="s">
        <v>45</v>
      </c>
      <c r="N17" s="159"/>
      <c r="O17" s="12"/>
      <c r="P17" s="1"/>
    </row>
    <row r="18" spans="1:16" ht="12.75">
      <c r="A18" s="1"/>
      <c r="B18" s="10"/>
      <c r="C18" s="13" t="s">
        <v>145</v>
      </c>
      <c r="D18" s="108">
        <f>(1.35*Zwischenresultate!L5+1.5*'ohne Spriessung'!J15)*'Timco-Dippelbaum'!D18/100*'Timco-Dippelbaum'!D16^2/8</f>
        <v>6.064617656747462</v>
      </c>
      <c r="E18" s="14" t="s">
        <v>41</v>
      </c>
      <c r="F18" s="130"/>
      <c r="G18" s="160" t="s">
        <v>118</v>
      </c>
      <c r="H18" s="161"/>
      <c r="I18" s="162">
        <f>D18*1000000*6/('Timco-Dippelbaum'!D17*10*('Timco-Dippelbaum'!D18*10)^2)</f>
        <v>2.526924023644776</v>
      </c>
      <c r="J18" s="14" t="s">
        <v>155</v>
      </c>
      <c r="K18" s="11"/>
      <c r="L18" s="13" t="s">
        <v>119</v>
      </c>
      <c r="M18" s="163">
        <f>MAX(I18,I23)/Zwischenresultate!L29</f>
        <v>0.9204867242417735</v>
      </c>
      <c r="N18" s="149" t="str">
        <f>IF(M18&lt;=1,"O.K.","Achtung")</f>
        <v>O.K.</v>
      </c>
      <c r="O18" s="12"/>
      <c r="P18" s="1"/>
    </row>
    <row r="19" spans="1:16" ht="12.75">
      <c r="A19" s="1"/>
      <c r="B19" s="10"/>
      <c r="C19" s="13" t="s">
        <v>146</v>
      </c>
      <c r="D19" s="108">
        <f>D18*4/'Timco-Dippelbaum'!D16</f>
        <v>4.6650905051903555</v>
      </c>
      <c r="E19" s="14" t="s">
        <v>16</v>
      </c>
      <c r="F19" s="130"/>
      <c r="G19" s="13" t="s">
        <v>120</v>
      </c>
      <c r="H19" s="110"/>
      <c r="I19" s="108">
        <f>3/2*D19*1000/Zwischenresultate!L17</f>
        <v>0.17401692512627628</v>
      </c>
      <c r="J19" s="14" t="s">
        <v>155</v>
      </c>
      <c r="K19" s="11"/>
      <c r="L19" s="13" t="s">
        <v>121</v>
      </c>
      <c r="M19" s="163">
        <f>MAX(I19,I24)/Zwischenresultate!L30</f>
        <v>0.2279115335499187</v>
      </c>
      <c r="N19" s="149" t="str">
        <f>IF(M19&lt;=1,"O.K.","Achtung")</f>
        <v>O.K.</v>
      </c>
      <c r="O19" s="12"/>
      <c r="P19" s="1"/>
    </row>
    <row r="20" spans="1:16" ht="12.75">
      <c r="A20" s="1"/>
      <c r="B20" s="10"/>
      <c r="C20" s="13"/>
      <c r="D20" s="108"/>
      <c r="E20" s="14"/>
      <c r="F20" s="130"/>
      <c r="G20" s="13"/>
      <c r="H20" s="110"/>
      <c r="I20" s="110"/>
      <c r="J20" s="14"/>
      <c r="K20" s="11"/>
      <c r="L20" s="13" t="s">
        <v>122</v>
      </c>
      <c r="M20" s="163">
        <f>I27/Zwischenresultate!L28</f>
        <v>0.27331743477690007</v>
      </c>
      <c r="N20" s="149" t="str">
        <f>IF(M20&lt;=1,"O.K.","Achtung")</f>
        <v>O.K.</v>
      </c>
      <c r="O20" s="12"/>
      <c r="P20" s="1"/>
    </row>
    <row r="21" spans="1:16" ht="12.75">
      <c r="A21" s="1"/>
      <c r="B21" s="10"/>
      <c r="C21" s="165" t="s">
        <v>141</v>
      </c>
      <c r="D21" s="148"/>
      <c r="E21" s="149"/>
      <c r="F21" s="130"/>
      <c r="G21" s="164" t="s">
        <v>123</v>
      </c>
      <c r="H21" s="110"/>
      <c r="I21" s="110"/>
      <c r="J21" s="14"/>
      <c r="K21" s="11"/>
      <c r="L21" s="13" t="s">
        <v>46</v>
      </c>
      <c r="M21" s="163">
        <f>D28/Zwischenresultate!C27</f>
        <v>0.4416856305233079</v>
      </c>
      <c r="N21" s="149" t="str">
        <f>IF(M21&lt;=1,"O.K.","Achtung")</f>
        <v>O.K.</v>
      </c>
      <c r="O21" s="12"/>
      <c r="P21" s="1"/>
    </row>
    <row r="22" spans="1:16" ht="12.75">
      <c r="A22" s="1"/>
      <c r="B22" s="10"/>
      <c r="C22" s="13" t="s">
        <v>145</v>
      </c>
      <c r="D22" s="108">
        <f>(Zwischenresultate!L5*'Timco-Dippelbaum'!D18/100*'Timco-Dippelbaum'!D16^2/8)*1.35</f>
        <v>4.543617656747463</v>
      </c>
      <c r="E22" s="14" t="s">
        <v>41</v>
      </c>
      <c r="F22" s="130"/>
      <c r="G22" s="269" t="s">
        <v>67</v>
      </c>
      <c r="H22" s="270"/>
      <c r="I22" s="270"/>
      <c r="J22" s="271"/>
      <c r="K22" s="11"/>
      <c r="L22" s="164"/>
      <c r="M22" s="110"/>
      <c r="N22" s="14"/>
      <c r="O22" s="12"/>
      <c r="P22" s="1"/>
    </row>
    <row r="23" spans="1:16" ht="15" customHeight="1">
      <c r="A23" s="1"/>
      <c r="B23" s="10"/>
      <c r="C23" s="13" t="s">
        <v>146</v>
      </c>
      <c r="D23" s="108">
        <f>D22*4/'Timco-Dippelbaum'!D16</f>
        <v>3.495090505190356</v>
      </c>
      <c r="E23" s="14" t="s">
        <v>16</v>
      </c>
      <c r="F23" s="83"/>
      <c r="G23" s="169" t="s">
        <v>38</v>
      </c>
      <c r="H23" s="170"/>
      <c r="I23" s="108">
        <f>D26*1000000/Zwischenresultate!G33*(Zwischenresultate!G31+'Timco-Dippelbaum'!D18*10/2)+D22*1000000/Zwischenresultate!L21*'Timco-Dippelbaum'!D18*10/2</f>
        <v>13.59488085034004</v>
      </c>
      <c r="J23" s="14" t="s">
        <v>155</v>
      </c>
      <c r="K23" s="11"/>
      <c r="L23" s="111" t="s">
        <v>125</v>
      </c>
      <c r="M23" s="16"/>
      <c r="N23" s="19"/>
      <c r="O23" s="12"/>
      <c r="P23" s="1"/>
    </row>
    <row r="24" spans="1:16" ht="12.75">
      <c r="A24" s="1"/>
      <c r="B24" s="10"/>
      <c r="C24" s="13"/>
      <c r="F24" s="83"/>
      <c r="G24" s="265" t="s">
        <v>13</v>
      </c>
      <c r="H24" s="266"/>
      <c r="I24" s="108">
        <f>'Timco-Dippelbaum'!I35</f>
        <v>0.2805065028306692</v>
      </c>
      <c r="J24" s="14" t="s">
        <v>155</v>
      </c>
      <c r="K24" s="11"/>
      <c r="L24" s="86" t="s">
        <v>126</v>
      </c>
      <c r="M24" s="34">
        <f>5/384*Zwischenresultate!L5*'Timco-Dippelbaum'!D18/100*'Timco-Dippelbaum'!D16^4/(Zwischenresultate!C6*1000000*Zwischenresultate!L21/1000000000000)*1000</f>
        <v>11.95468572129196</v>
      </c>
      <c r="N24" s="19" t="s">
        <v>32</v>
      </c>
      <c r="O24" s="12"/>
      <c r="P24" s="1"/>
    </row>
    <row r="25" spans="1:16" ht="12.75">
      <c r="A25" s="1"/>
      <c r="B25" s="10"/>
      <c r="C25" s="165" t="s">
        <v>124</v>
      </c>
      <c r="D25" s="148"/>
      <c r="E25" s="149"/>
      <c r="F25" s="83"/>
      <c r="G25" s="13"/>
      <c r="H25" s="110"/>
      <c r="I25" s="110"/>
      <c r="J25" s="14"/>
      <c r="K25" s="11"/>
      <c r="L25" s="86" t="s">
        <v>127</v>
      </c>
      <c r="M25" s="34">
        <f>5/384*((Zwischenresultate!L6-Zwischenresultate!L5)/(Zwischenresultate!H33/1000000000000)+Zwischenresultate!L5*(1000000000000/Zwischenresultate!H33-1000000000000/Zwischenresultate!H16))*'Timco-Dippelbaum'!D16^4*'Timco-Dippelbaum'!D18/100/(Zwischenresultate!C23*1000000)*1000</f>
        <v>4.700792108821751</v>
      </c>
      <c r="N25" s="171" t="s">
        <v>32</v>
      </c>
      <c r="O25" s="12"/>
      <c r="P25" s="1"/>
    </row>
    <row r="26" spans="1:16" ht="12.75">
      <c r="A26" s="1"/>
      <c r="B26" s="10"/>
      <c r="C26" s="13" t="s">
        <v>145</v>
      </c>
      <c r="D26" s="108">
        <f>(1.35*'Timco-Dippelbaum'!D25+1.5*'Timco-Dippelbaum'!D26)*'Timco-Dippelbaum'!D18/100*'Timco-Dippelbaum'!D16^2/8</f>
        <v>5.232240000000001</v>
      </c>
      <c r="E26" s="14" t="s">
        <v>41</v>
      </c>
      <c r="F26" s="11"/>
      <c r="G26" s="166" t="s">
        <v>140</v>
      </c>
      <c r="H26" s="167"/>
      <c r="I26" s="167"/>
      <c r="J26" s="168"/>
      <c r="K26" s="1"/>
      <c r="L26" s="86" t="s">
        <v>128</v>
      </c>
      <c r="M26" s="34">
        <f>5/384*Zwischenresultate!L7/(Zwischenresultate!H16/1000000000000)*'Timco-Dippelbaum'!D16^4*'Timco-Dippelbaum'!D18/100/(Zwischenresultate!C6*1000000)*1000</f>
        <v>1.1435596309633775</v>
      </c>
      <c r="N26" s="19" t="s">
        <v>32</v>
      </c>
      <c r="O26" s="12"/>
      <c r="P26" s="1"/>
    </row>
    <row r="27" spans="1:16" ht="12.75">
      <c r="A27" s="1"/>
      <c r="B27" s="10"/>
      <c r="C27" s="13" t="s">
        <v>146</v>
      </c>
      <c r="D27" s="108">
        <f>D26*4/'Timco-Dippelbaum'!D16</f>
        <v>4.024800000000001</v>
      </c>
      <c r="E27" s="14" t="s">
        <v>16</v>
      </c>
      <c r="F27" s="11"/>
      <c r="G27" s="172" t="s">
        <v>35</v>
      </c>
      <c r="H27" s="173"/>
      <c r="I27" s="109">
        <f>-D26*1000000/Zwischenresultate!G16*Zwischenresultate!C7*(Zwischenresultate!G11*Zwischenresultate!G15+'Timco-Dippelbaum'!D19*10/2)</f>
        <v>-3.088487012978971</v>
      </c>
      <c r="J27" s="14" t="s">
        <v>155</v>
      </c>
      <c r="K27" s="1"/>
      <c r="L27" s="86" t="s">
        <v>129</v>
      </c>
      <c r="M27" s="34">
        <f>SUM(M24:M26)</f>
        <v>17.799037461077088</v>
      </c>
      <c r="N27" s="19" t="s">
        <v>32</v>
      </c>
      <c r="O27" s="12"/>
      <c r="P27" s="1"/>
    </row>
    <row r="28" spans="1:16" ht="12.75">
      <c r="A28" s="1"/>
      <c r="B28" s="10"/>
      <c r="C28" s="26" t="s">
        <v>39</v>
      </c>
      <c r="D28" s="109">
        <f>D27/Zwischenresultate!G33*Zwischenresultate!G28*Zwischenresultate!C24*Zwischenresultate!G32*Zwischenresultate!L20*'Timco-Dippelbaum'!D35</f>
        <v>2.2108744114932843</v>
      </c>
      <c r="E28" s="27" t="s">
        <v>16</v>
      </c>
      <c r="F28" s="11"/>
      <c r="G28" s="267"/>
      <c r="H28" s="267"/>
      <c r="I28" s="49"/>
      <c r="J28" s="11"/>
      <c r="K28" s="1"/>
      <c r="L28" s="13" t="s">
        <v>48</v>
      </c>
      <c r="M28" s="124" t="s">
        <v>156</v>
      </c>
      <c r="N28" s="14"/>
      <c r="O28" s="12"/>
      <c r="P28" s="1"/>
    </row>
    <row r="29" spans="1:16" ht="12.75">
      <c r="A29" s="1"/>
      <c r="B29" s="10"/>
      <c r="C29" s="1"/>
      <c r="D29" s="1"/>
      <c r="E29" s="1"/>
      <c r="F29" s="11"/>
      <c r="G29" s="1"/>
      <c r="H29" s="1"/>
      <c r="I29" s="1"/>
      <c r="J29" s="1"/>
      <c r="K29" s="1"/>
      <c r="L29" s="26" t="s">
        <v>53</v>
      </c>
      <c r="M29" s="174">
        <f>IF(M28="l/200",M27/('Timco-Dippelbaum'!D16*1000/200),IF(M28="l/250",M27/('Timco-Dippelbaum'!D16*1000/250),IF(M28="l/300",M27/('Timco-Dippelbaum'!D16*1000/300),IF(M28="l/350",M27/('Timco-Dippelbaum'!D16*1000/350),0))))</f>
        <v>1.0268675458313705</v>
      </c>
      <c r="N29" s="175" t="str">
        <f>IF(M29&lt;=1,"O.K.","Achtung")</f>
        <v>Achtung</v>
      </c>
      <c r="O29" s="12"/>
      <c r="P29" s="1"/>
    </row>
    <row r="30" spans="1:16" ht="12.75">
      <c r="A30" s="1"/>
      <c r="B30" s="176"/>
      <c r="C30" s="1"/>
      <c r="D30" s="1"/>
      <c r="E30" s="1"/>
      <c r="F30" s="130"/>
      <c r="G30" s="177"/>
      <c r="H30" s="177"/>
      <c r="I30" s="177"/>
      <c r="J30" s="177"/>
      <c r="K30" s="177"/>
      <c r="L30" s="178"/>
      <c r="M30" s="178"/>
      <c r="N30" s="178"/>
      <c r="O30" s="179"/>
      <c r="P30" s="1"/>
    </row>
    <row r="31" spans="1:16" ht="12.75">
      <c r="A31" s="1"/>
      <c r="B31" s="176"/>
      <c r="C31" s="130"/>
      <c r="D31" s="130"/>
      <c r="E31" s="130"/>
      <c r="F31" s="130"/>
      <c r="G31" s="177"/>
      <c r="H31" s="177"/>
      <c r="I31" s="177"/>
      <c r="J31" s="177"/>
      <c r="K31" s="177"/>
      <c r="L31" s="180"/>
      <c r="M31" s="126"/>
      <c r="N31" s="130"/>
      <c r="O31" s="179"/>
      <c r="P31" s="1"/>
    </row>
    <row r="32" spans="1:16" ht="15" customHeight="1">
      <c r="A32" s="1"/>
      <c r="B32" s="176"/>
      <c r="C32" s="181" t="s">
        <v>130</v>
      </c>
      <c r="D32" s="181"/>
      <c r="E32" s="182"/>
      <c r="F32" s="182"/>
      <c r="G32" s="183"/>
      <c r="H32" s="183"/>
      <c r="I32" s="181"/>
      <c r="J32" s="182"/>
      <c r="K32" s="182"/>
      <c r="L32" s="182"/>
      <c r="M32" s="184"/>
      <c r="N32" s="51"/>
      <c r="O32" s="179"/>
      <c r="P32" s="1"/>
    </row>
    <row r="33" spans="1:16" ht="15" customHeight="1">
      <c r="A33" s="1"/>
      <c r="B33" s="176"/>
      <c r="C33" s="116" t="s">
        <v>131</v>
      </c>
      <c r="D33" s="185" t="s">
        <v>132</v>
      </c>
      <c r="E33" s="182"/>
      <c r="F33" s="182"/>
      <c r="G33" s="183"/>
      <c r="H33" s="183"/>
      <c r="I33" s="181"/>
      <c r="J33" s="182"/>
      <c r="K33" s="182"/>
      <c r="L33" s="182"/>
      <c r="M33" s="184"/>
      <c r="N33" s="51"/>
      <c r="O33" s="179"/>
      <c r="P33" s="1"/>
    </row>
    <row r="34" spans="1:16" ht="15" customHeight="1">
      <c r="A34" s="1"/>
      <c r="B34" s="176"/>
      <c r="C34" s="116" t="s">
        <v>133</v>
      </c>
      <c r="D34" s="185" t="s">
        <v>134</v>
      </c>
      <c r="E34" s="186"/>
      <c r="F34" s="186"/>
      <c r="G34" s="187"/>
      <c r="H34" s="187"/>
      <c r="I34" s="186"/>
      <c r="J34" s="186"/>
      <c r="K34" s="186"/>
      <c r="L34" s="182"/>
      <c r="M34" s="184"/>
      <c r="N34" s="51"/>
      <c r="O34" s="179"/>
      <c r="P34" s="1"/>
    </row>
    <row r="35" spans="1:16" ht="15" customHeight="1">
      <c r="A35" s="1"/>
      <c r="B35" s="176"/>
      <c r="C35" s="116" t="s">
        <v>135</v>
      </c>
      <c r="D35" s="185" t="s">
        <v>136</v>
      </c>
      <c r="E35" s="182"/>
      <c r="F35" s="182"/>
      <c r="G35" s="183"/>
      <c r="H35" s="183"/>
      <c r="I35" s="181"/>
      <c r="J35" s="182"/>
      <c r="K35" s="182"/>
      <c r="L35" s="182"/>
      <c r="M35" s="182"/>
      <c r="N35" s="130"/>
      <c r="O35" s="179"/>
      <c r="P35" s="1"/>
    </row>
    <row r="36" spans="1:16" ht="15" customHeight="1">
      <c r="A36" s="1"/>
      <c r="B36" s="176"/>
      <c r="C36" s="116" t="s">
        <v>137</v>
      </c>
      <c r="D36" s="185" t="s">
        <v>138</v>
      </c>
      <c r="E36" s="183"/>
      <c r="F36" s="183"/>
      <c r="G36" s="183"/>
      <c r="H36" s="183"/>
      <c r="I36" s="188"/>
      <c r="J36" s="188"/>
      <c r="K36" s="188"/>
      <c r="L36" s="182"/>
      <c r="M36" s="182"/>
      <c r="N36" s="130"/>
      <c r="O36" s="179"/>
      <c r="P36" s="1"/>
    </row>
    <row r="37" spans="1:16" s="193" customFormat="1" ht="12.75">
      <c r="A37" s="189"/>
      <c r="B37" s="190"/>
      <c r="C37" s="199"/>
      <c r="D37" s="200"/>
      <c r="E37" s="199"/>
      <c r="F37" s="199"/>
      <c r="G37" s="199"/>
      <c r="H37" s="201"/>
      <c r="I37" s="199"/>
      <c r="J37" s="199"/>
      <c r="K37" s="199"/>
      <c r="L37" s="191"/>
      <c r="M37" s="191"/>
      <c r="N37" s="191"/>
      <c r="O37" s="192"/>
      <c r="P37" s="189"/>
    </row>
    <row r="38" spans="1:16" ht="12.75">
      <c r="A38" s="1"/>
      <c r="B38" s="176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79"/>
      <c r="P38" s="1"/>
    </row>
    <row r="39" spans="1:16" s="68" customFormat="1" ht="17.25" customHeight="1">
      <c r="A39" s="52"/>
      <c r="B39" s="10" t="s">
        <v>246</v>
      </c>
      <c r="C39" s="11"/>
      <c r="D39" s="11"/>
      <c r="E39" s="65"/>
      <c r="F39" s="65"/>
      <c r="G39" s="65"/>
      <c r="H39" s="48"/>
      <c r="I39" s="66"/>
      <c r="J39" s="66"/>
      <c r="K39" s="66"/>
      <c r="L39" s="194"/>
      <c r="M39" s="194"/>
      <c r="N39" s="194"/>
      <c r="O39" s="195"/>
      <c r="P39" s="52"/>
    </row>
    <row r="40" spans="2:15" s="69" customFormat="1" ht="14.25" customHeigh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5"/>
    </row>
    <row r="41" spans="1:17" s="74" customFormat="1" ht="15" customHeight="1">
      <c r="A41" s="94"/>
      <c r="B41" s="205"/>
      <c r="C41" s="205"/>
      <c r="D41" s="205"/>
      <c r="E41" s="205"/>
      <c r="F41" s="205"/>
      <c r="G41" s="18"/>
      <c r="H41" s="18"/>
      <c r="I41" s="18"/>
      <c r="J41" s="15"/>
      <c r="K41" s="205"/>
      <c r="L41" s="205"/>
      <c r="M41" s="205"/>
      <c r="N41" s="205"/>
      <c r="O41" s="205"/>
      <c r="P41" s="94"/>
      <c r="Q41" s="94"/>
    </row>
    <row r="42" spans="1:17" ht="15" customHeight="1">
      <c r="A42" s="69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69"/>
      <c r="Q42" s="69"/>
    </row>
    <row r="43" spans="1:17" ht="15" customHeight="1">
      <c r="A43" s="69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69"/>
      <c r="Q43" s="69"/>
    </row>
    <row r="44" spans="1:17" ht="15" customHeight="1">
      <c r="A44" s="69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69"/>
      <c r="Q44" s="69"/>
    </row>
    <row r="45" spans="1:17" s="74" customFormat="1" ht="15" customHeight="1">
      <c r="A45" s="94"/>
      <c r="B45" s="205"/>
      <c r="C45" s="206"/>
      <c r="D45" s="207"/>
      <c r="E45" s="205"/>
      <c r="F45" s="205"/>
      <c r="G45" s="208"/>
      <c r="H45" s="207"/>
      <c r="I45" s="205"/>
      <c r="J45" s="208"/>
      <c r="K45" s="207"/>
      <c r="L45" s="206"/>
      <c r="M45" s="207"/>
      <c r="N45" s="205"/>
      <c r="O45" s="205"/>
      <c r="P45" s="94"/>
      <c r="Q45" s="94"/>
    </row>
    <row r="46" spans="1:17" s="74" customFormat="1" ht="15" customHeight="1">
      <c r="A46" s="94"/>
      <c r="B46" s="205"/>
      <c r="C46" s="209"/>
      <c r="D46" s="205"/>
      <c r="E46" s="205"/>
      <c r="F46" s="205"/>
      <c r="G46" s="210"/>
      <c r="H46" s="117"/>
      <c r="I46" s="205"/>
      <c r="J46" s="210"/>
      <c r="K46" s="205"/>
      <c r="L46" s="210"/>
      <c r="M46" s="205"/>
      <c r="N46" s="205"/>
      <c r="O46" s="205"/>
      <c r="P46" s="94"/>
      <c r="Q46" s="94"/>
    </row>
    <row r="47" spans="1:19" s="74" customFormat="1" ht="15" customHeight="1">
      <c r="A47" s="9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94"/>
      <c r="Q47" s="94"/>
      <c r="R47" s="94"/>
      <c r="S47" s="94"/>
    </row>
    <row r="48" spans="1:19" s="74" customFormat="1" ht="15" customHeight="1">
      <c r="A48" s="94"/>
      <c r="B48" s="205"/>
      <c r="C48" s="205"/>
      <c r="D48" s="205"/>
      <c r="E48" s="205"/>
      <c r="F48" s="205"/>
      <c r="G48" s="205"/>
      <c r="H48" s="205"/>
      <c r="I48" s="211"/>
      <c r="J48" s="205"/>
      <c r="K48" s="205"/>
      <c r="L48" s="205"/>
      <c r="M48" s="205"/>
      <c r="N48" s="205"/>
      <c r="O48" s="205"/>
      <c r="P48" s="94"/>
      <c r="Q48" s="94"/>
      <c r="R48" s="94"/>
      <c r="S48" s="94"/>
    </row>
    <row r="49" spans="1:19" ht="15" customHeight="1">
      <c r="A49" s="69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69"/>
      <c r="Q49" s="69"/>
      <c r="R49" s="69"/>
      <c r="S49" s="69"/>
    </row>
    <row r="50" spans="1:19" ht="14.25" customHeight="1">
      <c r="A50" s="69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69"/>
      <c r="Q50" s="69"/>
      <c r="R50" s="69"/>
      <c r="S50" s="69"/>
    </row>
    <row r="51" spans="1:19" ht="14.25" customHeight="1">
      <c r="A51" s="69"/>
      <c r="B51" s="204"/>
      <c r="C51" s="205"/>
      <c r="D51" s="204"/>
      <c r="E51" s="204"/>
      <c r="F51" s="204"/>
      <c r="G51" s="204"/>
      <c r="H51" s="196"/>
      <c r="I51" s="196"/>
      <c r="J51" s="196"/>
      <c r="K51" s="196"/>
      <c r="L51" s="196"/>
      <c r="M51" s="204"/>
      <c r="N51" s="204"/>
      <c r="O51" s="204"/>
      <c r="P51" s="69"/>
      <c r="Q51" s="69"/>
      <c r="R51" s="69"/>
      <c r="S51" s="69"/>
    </row>
    <row r="52" spans="1:21" ht="14.25" customHeight="1">
      <c r="A52" s="69"/>
      <c r="B52" s="204"/>
      <c r="C52" s="29"/>
      <c r="D52" s="29"/>
      <c r="E52" s="18"/>
      <c r="F52" s="204"/>
      <c r="G52" s="204"/>
      <c r="H52" s="196"/>
      <c r="I52" s="196"/>
      <c r="J52" s="196"/>
      <c r="K52" s="196"/>
      <c r="L52" s="196"/>
      <c r="M52" s="204"/>
      <c r="N52" s="204"/>
      <c r="O52" s="204"/>
      <c r="P52" s="69"/>
      <c r="Q52" s="69"/>
      <c r="R52" s="196"/>
      <c r="S52" s="196"/>
      <c r="T52" s="84"/>
      <c r="U52" s="84"/>
    </row>
    <row r="53" spans="1:19" ht="14.25" customHeight="1">
      <c r="A53" s="69"/>
      <c r="B53" s="204"/>
      <c r="C53" s="204"/>
      <c r="D53" s="204"/>
      <c r="E53" s="212"/>
      <c r="F53" s="204"/>
      <c r="G53" s="204"/>
      <c r="H53" s="196"/>
      <c r="I53" s="196"/>
      <c r="J53" s="196"/>
      <c r="K53" s="196"/>
      <c r="L53" s="196"/>
      <c r="M53" s="204"/>
      <c r="N53" s="204"/>
      <c r="O53" s="204"/>
      <c r="P53" s="69"/>
      <c r="Q53" s="69"/>
      <c r="R53" s="69"/>
      <c r="S53" s="69"/>
    </row>
    <row r="54" spans="1:19" ht="14.25" customHeight="1">
      <c r="A54" s="69"/>
      <c r="B54" s="204"/>
      <c r="C54" s="204"/>
      <c r="D54" s="204"/>
      <c r="E54" s="212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69"/>
      <c r="Q54" s="69"/>
      <c r="R54" s="69"/>
      <c r="S54" s="69"/>
    </row>
    <row r="55" spans="1:21" ht="14.25" customHeight="1">
      <c r="A55" s="69"/>
      <c r="B55" s="204"/>
      <c r="C55" s="204"/>
      <c r="D55" s="204"/>
      <c r="E55" s="212"/>
      <c r="F55" s="204"/>
      <c r="G55" s="204"/>
      <c r="H55" s="196"/>
      <c r="I55" s="204"/>
      <c r="J55" s="204"/>
      <c r="K55" s="204"/>
      <c r="L55" s="204"/>
      <c r="M55" s="204"/>
      <c r="N55" s="204"/>
      <c r="O55" s="204"/>
      <c r="P55" s="69"/>
      <c r="Q55" s="16"/>
      <c r="R55" s="16"/>
      <c r="S55" s="16"/>
      <c r="T55" s="11"/>
      <c r="U55" s="11"/>
    </row>
    <row r="56" spans="1:19" ht="14.25" customHeight="1">
      <c r="A56" s="69"/>
      <c r="B56" s="204"/>
      <c r="C56" s="29"/>
      <c r="D56" s="29"/>
      <c r="E56" s="213"/>
      <c r="F56" s="204"/>
      <c r="G56" s="204"/>
      <c r="H56" s="196"/>
      <c r="I56" s="204"/>
      <c r="J56" s="204"/>
      <c r="K56" s="204"/>
      <c r="L56" s="204"/>
      <c r="M56" s="204"/>
      <c r="N56" s="204"/>
      <c r="O56" s="204"/>
      <c r="P56" s="69"/>
      <c r="Q56" s="69"/>
      <c r="R56" s="69"/>
      <c r="S56" s="69"/>
    </row>
    <row r="57" spans="1:19" ht="14.25" customHeight="1">
      <c r="A57" s="69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69"/>
      <c r="Q57" s="69"/>
      <c r="R57" s="69"/>
      <c r="S57" s="69"/>
    </row>
    <row r="58" spans="1:19" ht="14.25" customHeight="1">
      <c r="A58" s="6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14"/>
      <c r="O58" s="107"/>
      <c r="P58" s="69"/>
      <c r="Q58" s="69"/>
      <c r="R58" s="69"/>
      <c r="S58" s="69"/>
    </row>
    <row r="59" spans="1:19" ht="14.25" customHeight="1">
      <c r="A59" s="6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69"/>
      <c r="Q59" s="69"/>
      <c r="R59" s="69"/>
      <c r="S59" s="69"/>
    </row>
    <row r="60" spans="1:19" ht="14.25" customHeight="1">
      <c r="A60" s="6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69"/>
      <c r="Q60" s="69"/>
      <c r="R60" s="69"/>
      <c r="S60" s="69"/>
    </row>
    <row r="61" spans="1:19" ht="14.25" customHeight="1">
      <c r="A61" s="6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69"/>
      <c r="Q61" s="69"/>
      <c r="R61" s="69"/>
      <c r="S61" s="69"/>
    </row>
    <row r="62" spans="2:15" s="69" customFormat="1" ht="14.25" customHeight="1">
      <c r="B62" s="16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</row>
    <row r="63" spans="1:17" ht="14.25" customHeight="1">
      <c r="A63" s="69"/>
      <c r="B63" s="69"/>
      <c r="C63" s="21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69"/>
      <c r="Q63" s="69"/>
    </row>
    <row r="64" spans="1:17" ht="14.25" customHeight="1">
      <c r="A64" s="69"/>
      <c r="B64" s="69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69"/>
      <c r="Q64" s="69"/>
    </row>
    <row r="65" spans="3:15" ht="14.25" customHeight="1"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3:15" ht="14.25" customHeight="1"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ht="14.25" customHeight="1"/>
    <row r="68" spans="3:15" ht="14.25" customHeight="1"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3:15" ht="14.25" customHeight="1"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3:15" ht="14.25" customHeight="1"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7"/>
    </row>
    <row r="71" spans="3:15" ht="14.25" customHeight="1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3:15" ht="14.25" customHeight="1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</sheetData>
  <sheetProtection password="8EEB" sheet="1"/>
  <mergeCells count="6">
    <mergeCell ref="G24:H24"/>
    <mergeCell ref="G28:H28"/>
    <mergeCell ref="C3:N3"/>
    <mergeCell ref="C4:N4"/>
    <mergeCell ref="C13:N13"/>
    <mergeCell ref="G22:J22"/>
  </mergeCells>
  <dataValidations count="6">
    <dataValidation type="list" allowBlank="1" showInputMessage="1" showErrorMessage="1" sqref="M16">
      <formula1>"Nadelholz FK II,Brettschichtholz BSH B,Eiche/Buche"</formula1>
    </dataValidation>
    <dataValidation errorStyle="warning" operator="lessThanOrEqual" allowBlank="1" showInputMessage="1" showErrorMessage="1" errorTitle="Warnung" error="Der Nachweis ist nicht erfüllt." sqref="M18 M32"/>
    <dataValidation errorStyle="warning" operator="lessThanOrEqual" allowBlank="1" showInputMessage="1" showErrorMessage="1" errorTitle="Achtung" error="Der Nachweis ist nicht erfüllt." sqref="M21"/>
    <dataValidation type="decimal" allowBlank="1" showInputMessage="1" showErrorMessage="1" errorTitle="Fehleingabe" error="Für Spannweiten dieser Grössenordnung ist dieses Programm nicht geeignet." sqref="D16">
      <formula1>0.5</formula1>
      <formula2>15</formula2>
    </dataValidation>
    <dataValidation type="decimal" allowBlank="1" showInputMessage="1" showErrorMessage="1" errorTitle="Fehleingabe" error="Die Last ist zwischen 0.5 und 2.0 kN/m^2 zu wählen. Üblich ist 1.0 kN/m^2." sqref="J15">
      <formula1>0.5</formula1>
      <formula2>2</formula2>
    </dataValidation>
    <dataValidation type="list" allowBlank="1" showInputMessage="1" showErrorMessage="1" sqref="M28">
      <formula1>"l/350,l/300,l/250,l/200"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63" r:id="rId4"/>
  <colBreaks count="1" manualBreakCount="1">
    <brk id="16" max="65535" man="1"/>
  </colBreaks>
  <drawing r:id="rId3"/>
  <legacyDrawing r:id="rId2"/>
  <oleObjects>
    <oleObject progId="Photoshop.Image.6" shapeId="1285232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9" width="13.8515625" style="2" customWidth="1"/>
    <col min="10" max="10" width="13.57421875" style="2" customWidth="1"/>
    <col min="11" max="16384" width="11.421875" style="2" customWidth="1"/>
  </cols>
  <sheetData>
    <row r="1" spans="1:10" ht="27.75">
      <c r="A1" s="272" t="s">
        <v>106</v>
      </c>
      <c r="B1" s="272"/>
      <c r="C1" s="272"/>
      <c r="D1" s="272"/>
      <c r="E1" s="272"/>
      <c r="F1" s="272"/>
      <c r="G1" s="272"/>
      <c r="H1" s="272"/>
      <c r="I1" s="272"/>
      <c r="J1" s="128">
        <f>'Timco-Dippelbaum'!E42</f>
        <v>0</v>
      </c>
    </row>
    <row r="2" spans="1:10" ht="12.75" hidden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hidden="1">
      <c r="A3" s="54"/>
      <c r="B3" s="55"/>
      <c r="C3" s="54"/>
      <c r="D3" s="54"/>
      <c r="E3" s="56"/>
      <c r="F3" s="56"/>
      <c r="G3" s="55"/>
      <c r="H3" s="54"/>
      <c r="I3" s="54"/>
      <c r="J3" s="54"/>
    </row>
    <row r="4" spans="1:10" ht="12.75" hidden="1">
      <c r="A4" s="11"/>
      <c r="B4" s="49"/>
      <c r="C4" s="11"/>
      <c r="D4" s="11"/>
      <c r="E4" s="48"/>
      <c r="F4" s="48"/>
      <c r="G4" s="49"/>
      <c r="H4" s="11"/>
      <c r="I4" s="11"/>
      <c r="J4" s="11"/>
    </row>
    <row r="5" spans="1:10" ht="12.75" hidden="1">
      <c r="A5" s="11"/>
      <c r="B5" s="49"/>
      <c r="C5" s="48"/>
      <c r="D5" s="48"/>
      <c r="E5" s="48"/>
      <c r="F5" s="48"/>
      <c r="G5" s="129"/>
      <c r="H5" s="129"/>
      <c r="I5" s="129"/>
      <c r="J5" s="130"/>
    </row>
    <row r="6" spans="1:10" ht="12.75" hidden="1">
      <c r="A6" s="65"/>
      <c r="B6" s="49"/>
      <c r="C6" s="65"/>
      <c r="D6" s="65"/>
      <c r="E6" s="65"/>
      <c r="F6" s="48"/>
      <c r="G6" s="66"/>
      <c r="H6" s="66"/>
      <c r="I6" s="66"/>
      <c r="J6" s="130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131" t="s">
        <v>107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26"/>
      <c r="F13" s="126"/>
      <c r="G13" s="126"/>
      <c r="H13" s="5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52"/>
      <c r="B15" s="52"/>
      <c r="C15" s="52"/>
      <c r="D15" s="273" t="s">
        <v>65</v>
      </c>
      <c r="E15" s="273"/>
      <c r="F15" s="273"/>
      <c r="G15" s="132">
        <f>'Timco-Dippelbaum'!E57</f>
        <v>1</v>
      </c>
      <c r="H15" s="52"/>
      <c r="I15" s="52"/>
      <c r="J15" s="52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52"/>
      <c r="B19" s="133" t="s">
        <v>62</v>
      </c>
      <c r="C19" s="134">
        <f>'Timco-Dippelbaum'!D50</f>
        <v>120</v>
      </c>
      <c r="D19" s="133" t="s">
        <v>62</v>
      </c>
      <c r="E19" s="134">
        <f>'Timco-Dippelbaum'!H50</f>
        <v>240</v>
      </c>
      <c r="F19" s="133" t="s">
        <v>62</v>
      </c>
      <c r="G19" s="134">
        <f>'Timco-Dippelbaum'!K50</f>
        <v>240</v>
      </c>
      <c r="H19" s="133" t="s">
        <v>62</v>
      </c>
      <c r="I19" s="134">
        <f>'Timco-Dippelbaum'!M50</f>
        <v>120</v>
      </c>
      <c r="J19" s="52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144" customFormat="1" ht="19.5" customHeight="1">
      <c r="A21" s="143"/>
      <c r="B21" s="143">
        <f>'Timco-Dippelbaum'!C51*100</f>
        <v>130</v>
      </c>
      <c r="C21" s="134" t="s">
        <v>2</v>
      </c>
      <c r="D21" s="143">
        <f>'Timco-Dippelbaum'!G51*100</f>
        <v>130</v>
      </c>
      <c r="E21" s="134" t="s">
        <v>2</v>
      </c>
      <c r="F21" s="143">
        <f>'Timco-Dippelbaum'!J51*100</f>
        <v>130</v>
      </c>
      <c r="G21" s="134" t="s">
        <v>2</v>
      </c>
      <c r="H21" s="143">
        <f>'Timco-Dippelbaum'!L51*100</f>
        <v>130</v>
      </c>
      <c r="I21" s="134" t="s">
        <v>2</v>
      </c>
      <c r="J21" s="143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 customHeight="1">
      <c r="A24" s="52"/>
      <c r="B24" s="52"/>
      <c r="C24" s="52"/>
      <c r="D24" s="52"/>
      <c r="E24" s="135">
        <f>'Timco-Dippelbaum'!I53*100</f>
        <v>520</v>
      </c>
      <c r="F24" s="52" t="s">
        <v>2</v>
      </c>
      <c r="G24" s="52"/>
      <c r="H24" s="52"/>
      <c r="I24" s="52"/>
      <c r="J24" s="52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75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1"/>
      <c r="B27" s="1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54" t="s">
        <v>108</v>
      </c>
      <c r="B28" s="136"/>
      <c r="C28" s="131"/>
      <c r="D28" s="131"/>
      <c r="E28" s="131"/>
      <c r="F28" s="131"/>
      <c r="G28" s="54" t="s">
        <v>109</v>
      </c>
      <c r="H28" s="131"/>
      <c r="I28" s="131"/>
      <c r="J28" s="131"/>
    </row>
    <row r="29" spans="1:10" ht="15.75" customHeight="1">
      <c r="A29" s="274" t="s">
        <v>60</v>
      </c>
      <c r="B29" s="274"/>
      <c r="C29" s="131"/>
      <c r="D29" s="131">
        <f>G15</f>
        <v>1</v>
      </c>
      <c r="E29" s="131"/>
      <c r="F29" s="131"/>
      <c r="G29" s="131" t="str">
        <f>IF(D32&gt;0,"Der Mindestabstand quer zur Tragrichtung zwischen"," ")</f>
        <v>Der Mindestabstand quer zur Tragrichtung zwischen</v>
      </c>
      <c r="H29" s="131"/>
      <c r="I29" s="131"/>
      <c r="J29" s="131"/>
    </row>
    <row r="30" spans="1:10" ht="15.75" customHeight="1">
      <c r="A30" s="136" t="s">
        <v>55</v>
      </c>
      <c r="B30" s="136"/>
      <c r="C30" s="131"/>
      <c r="D30" s="137">
        <f>I19</f>
        <v>120</v>
      </c>
      <c r="E30" s="131" t="s">
        <v>32</v>
      </c>
      <c r="F30" s="131"/>
      <c r="G30" s="131" t="str">
        <f>IF(D32&gt;0,"den Reihen und den Balkenrändern beträgt  30 mm. "," ")</f>
        <v>den Reihen und den Balkenrändern beträgt  30 mm. </v>
      </c>
      <c r="H30" s="131"/>
      <c r="I30" s="131"/>
      <c r="J30" s="131"/>
    </row>
    <row r="31" spans="1:10" ht="15.75" customHeight="1">
      <c r="A31" s="136" t="s">
        <v>56</v>
      </c>
      <c r="B31" s="136"/>
      <c r="C31" s="131"/>
      <c r="D31" s="137">
        <f>G19</f>
        <v>240</v>
      </c>
      <c r="E31" s="131" t="s">
        <v>32</v>
      </c>
      <c r="F31" s="131"/>
      <c r="G31" s="131"/>
      <c r="H31" s="131"/>
      <c r="I31" s="131"/>
      <c r="J31" s="131"/>
    </row>
    <row r="32" spans="1:10" ht="15.75" customHeight="1">
      <c r="A32" s="136" t="s">
        <v>57</v>
      </c>
      <c r="B32" s="136"/>
      <c r="C32" s="131"/>
      <c r="D32" s="137">
        <f>'Timco-Dippelbaum'!E60</f>
        <v>30</v>
      </c>
      <c r="E32" s="131" t="s">
        <v>58</v>
      </c>
      <c r="F32" s="131"/>
      <c r="G32" s="131" t="str">
        <f>IF(D32=0,"Verteilung nicht möglich! ","Die Neigung der Verbundelemente beträgt 45°.")</f>
        <v>Die Neigung der Verbundelemente beträgt 45°.</v>
      </c>
      <c r="H32" s="131"/>
      <c r="I32" s="131"/>
      <c r="J32" s="131"/>
    </row>
    <row r="33" spans="1:10" ht="15.75" customHeight="1">
      <c r="A33" s="274" t="s">
        <v>110</v>
      </c>
      <c r="B33" s="274"/>
      <c r="C33" s="131"/>
      <c r="D33" s="138">
        <f>'Timco-Dippelbaum'!E61</f>
        <v>19.23076923076923</v>
      </c>
      <c r="E33" s="131" t="s">
        <v>58</v>
      </c>
      <c r="F33" s="131"/>
      <c r="G33" s="131" t="str">
        <f>IF(D32=0,"Mindestabstände sind nicht eingehalten."," ")</f>
        <v> </v>
      </c>
      <c r="H33" s="131"/>
      <c r="I33" s="131"/>
      <c r="J33" s="131"/>
    </row>
    <row r="34" spans="1:10" ht="15.75" customHeight="1">
      <c r="A34" s="11"/>
      <c r="B34" s="1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52" t="s">
        <v>111</v>
      </c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 ht="15.75" customHeight="1">
      <c r="A37" s="131" t="s">
        <v>91</v>
      </c>
      <c r="B37" s="139">
        <f>'Timco-Dippelbaum'!C42</f>
        <v>0</v>
      </c>
      <c r="C37" s="131"/>
      <c r="D37" s="140" t="s">
        <v>112</v>
      </c>
      <c r="E37" s="139">
        <f>'Timco-Dippelbaum'!E42</f>
        <v>0</v>
      </c>
      <c r="F37" s="131" t="s">
        <v>113</v>
      </c>
      <c r="G37" s="141">
        <f>'Timco-Dippelbaum'!I42</f>
        <v>0</v>
      </c>
      <c r="H37" s="131"/>
      <c r="I37" s="131" t="s">
        <v>94</v>
      </c>
      <c r="J37" s="142">
        <f>'Timco-Dippelbaum'!M42</f>
        <v>0</v>
      </c>
    </row>
    <row r="38" spans="1:10" ht="15">
      <c r="A38" s="131"/>
      <c r="B38" s="131"/>
      <c r="C38" s="131"/>
      <c r="D38" s="131"/>
      <c r="E38" s="131"/>
      <c r="F38" s="131"/>
      <c r="G38" s="131"/>
      <c r="H38" s="131"/>
      <c r="I38" s="131"/>
      <c r="J38" s="131"/>
    </row>
  </sheetData>
  <sheetProtection password="8EEB" sheet="1"/>
  <mergeCells count="4">
    <mergeCell ref="A1:I1"/>
    <mergeCell ref="D15:F15"/>
    <mergeCell ref="A29:B29"/>
    <mergeCell ref="A33:B33"/>
  </mergeCells>
  <printOptions/>
  <pageMargins left="0.787401575" right="0.787401575" top="0.984251969" bottom="0.984251969" header="0.4921259845" footer="0.4921259845"/>
  <pageSetup orientation="landscape" paperSize="9" scale="95" r:id="rId2"/>
  <headerFooter alignWithMargins="0">
    <oddFooter>&amp;L&amp;F&amp;R&amp;D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K35" sqref="K35:K36"/>
    </sheetView>
  </sheetViews>
  <sheetFormatPr defaultColWidth="11.421875" defaultRowHeight="12.75"/>
  <cols>
    <col min="1" max="1" width="4.421875" style="2" customWidth="1"/>
    <col min="2" max="2" width="22.28125" style="2" customWidth="1"/>
    <col min="3" max="3" width="10.7109375" style="2" customWidth="1"/>
    <col min="4" max="4" width="4.7109375" style="2" customWidth="1"/>
    <col min="5" max="5" width="6.7109375" style="2" customWidth="1"/>
    <col min="6" max="6" width="24.28125" style="2" customWidth="1"/>
    <col min="7" max="8" width="10.7109375" style="2" customWidth="1"/>
    <col min="9" max="10" width="6.7109375" style="2" customWidth="1"/>
    <col min="11" max="11" width="23.00390625" style="2" customWidth="1"/>
    <col min="12" max="12" width="10.7109375" style="2" customWidth="1"/>
    <col min="13" max="13" width="6.140625" style="2" bestFit="1" customWidth="1"/>
    <col min="14" max="14" width="4.421875" style="2" customWidth="1"/>
    <col min="15" max="16384" width="11.421875" style="2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"/>
      <c r="B2" s="276" t="s">
        <v>70</v>
      </c>
      <c r="C2" s="276"/>
      <c r="D2" s="276"/>
      <c r="E2" s="276"/>
      <c r="F2" s="276"/>
      <c r="G2" s="276"/>
      <c r="H2" s="276"/>
      <c r="I2" s="276"/>
      <c r="J2" s="98"/>
      <c r="K2" s="273" t="s">
        <v>86</v>
      </c>
      <c r="L2" s="273"/>
      <c r="M2" s="273"/>
      <c r="N2" s="1"/>
    </row>
    <row r="3" spans="1:14" ht="15" customHeight="1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"/>
    </row>
    <row r="4" spans="1:14" s="104" customFormat="1" ht="15" customHeight="1">
      <c r="A4" s="99"/>
      <c r="B4" s="100" t="s">
        <v>10</v>
      </c>
      <c r="C4" s="64"/>
      <c r="D4" s="64"/>
      <c r="E4" s="64"/>
      <c r="F4" s="64"/>
      <c r="G4" s="101" t="s">
        <v>72</v>
      </c>
      <c r="H4" s="101" t="s">
        <v>73</v>
      </c>
      <c r="I4" s="102"/>
      <c r="J4" s="106"/>
      <c r="K4" s="248" t="s">
        <v>44</v>
      </c>
      <c r="L4" s="249"/>
      <c r="M4" s="250"/>
      <c r="N4" s="103"/>
    </row>
    <row r="5" spans="1:14" s="104" customFormat="1" ht="15" customHeight="1">
      <c r="A5" s="99"/>
      <c r="B5" s="86" t="s">
        <v>11</v>
      </c>
      <c r="C5" s="105">
        <f>IF('Timco-Dippelbaum'!D31="C20/25",29,IF('Timco-Dippelbaum'!D31="C25/30",30.5,IF('Timco-Dippelbaum'!D31="C30/37",32)))</f>
        <v>29</v>
      </c>
      <c r="D5" s="218" t="s">
        <v>244</v>
      </c>
      <c r="E5" s="16"/>
      <c r="F5" s="16"/>
      <c r="G5" s="106" t="s">
        <v>79</v>
      </c>
      <c r="H5" s="106" t="s">
        <v>74</v>
      </c>
      <c r="I5" s="19"/>
      <c r="J5" s="218"/>
      <c r="K5" s="86" t="s">
        <v>24</v>
      </c>
      <c r="L5" s="30">
        <f>(Zwischenresultate!L18*10^-6*Zwischenresultate!L26+(Zwischenresultate!L17*10^-6)*5)/('Timco-Dippelbaum'!D18/100)</f>
        <v>3.3191742689367096</v>
      </c>
      <c r="M5" s="19" t="s">
        <v>26</v>
      </c>
      <c r="N5" s="99"/>
    </row>
    <row r="6" spans="1:14" ht="15" customHeight="1">
      <c r="A6" s="1"/>
      <c r="B6" s="86" t="s">
        <v>12</v>
      </c>
      <c r="C6" s="105">
        <f>IF('Timco-Dippelbaum'!D30="C24",11,IF('Timco-Dippelbaum'!D30="C30",12,IF('Timco-Dippelbaum'!D30="GL24h",11.6,IF('Timco-Dippelbaum'!D30="GL28h",12.6,))))</f>
        <v>11</v>
      </c>
      <c r="D6" s="218" t="s">
        <v>244</v>
      </c>
      <c r="E6" s="16"/>
      <c r="F6" s="17" t="s">
        <v>19</v>
      </c>
      <c r="G6" s="16"/>
      <c r="H6" s="107"/>
      <c r="I6" s="19"/>
      <c r="J6" s="16"/>
      <c r="K6" s="86" t="s">
        <v>42</v>
      </c>
      <c r="L6" s="30">
        <f>Zwischenresultate!L5+'Timco-Dippelbaum'!D25+'Timco-Dippelbaum'!D26*'Timco-Dippelbaum'!D27/100</f>
        <v>5.579174268936709</v>
      </c>
      <c r="M6" s="19" t="s">
        <v>26</v>
      </c>
      <c r="N6" s="1"/>
    </row>
    <row r="7" spans="1:14" ht="15" customHeight="1">
      <c r="A7" s="1"/>
      <c r="B7" s="86" t="s">
        <v>59</v>
      </c>
      <c r="C7" s="34">
        <f>C5/C6</f>
        <v>2.6363636363636362</v>
      </c>
      <c r="D7" s="16"/>
      <c r="E7" s="16"/>
      <c r="F7" s="16" t="s">
        <v>17</v>
      </c>
      <c r="G7" s="30">
        <f>2/3*H7</f>
        <v>8.493333333333332</v>
      </c>
      <c r="H7" s="30">
        <f>(98)*0.13</f>
        <v>12.74</v>
      </c>
      <c r="I7" s="19" t="s">
        <v>18</v>
      </c>
      <c r="J7" s="16"/>
      <c r="K7" s="45" t="s">
        <v>43</v>
      </c>
      <c r="L7" s="38">
        <f>'Timco-Dippelbaum'!D26*(1-'Timco-Dippelbaum'!D27/100)</f>
        <v>1.3399999999999999</v>
      </c>
      <c r="M7" s="46" t="s">
        <v>26</v>
      </c>
      <c r="N7" s="1"/>
    </row>
    <row r="8" spans="1:14" ht="15" customHeight="1">
      <c r="A8" s="1"/>
      <c r="B8" s="86"/>
      <c r="C8" s="16"/>
      <c r="D8" s="16"/>
      <c r="E8" s="16"/>
      <c r="F8" s="16"/>
      <c r="G8" s="16"/>
      <c r="H8" s="16"/>
      <c r="I8" s="19"/>
      <c r="J8" s="16"/>
      <c r="K8" s="16"/>
      <c r="L8" s="16"/>
      <c r="M8" s="16"/>
      <c r="N8" s="1"/>
    </row>
    <row r="9" spans="1:14" ht="15" customHeight="1">
      <c r="A9" s="1"/>
      <c r="B9" s="111" t="s">
        <v>19</v>
      </c>
      <c r="C9" s="16"/>
      <c r="D9" s="16"/>
      <c r="E9" s="16"/>
      <c r="F9" s="17" t="s">
        <v>25</v>
      </c>
      <c r="G9" s="30"/>
      <c r="H9" s="107"/>
      <c r="I9" s="19"/>
      <c r="J9" s="16"/>
      <c r="K9" s="69"/>
      <c r="L9" s="69"/>
      <c r="M9" s="69"/>
      <c r="N9" s="1"/>
    </row>
    <row r="10" spans="1:14" ht="15" customHeight="1">
      <c r="A10" s="1"/>
      <c r="B10" s="86" t="s">
        <v>150</v>
      </c>
      <c r="C10" s="30">
        <f>83*(98)*(L27*100/350)^0.8*0.8/1300</f>
        <v>5.005538461538462</v>
      </c>
      <c r="D10" s="16" t="s">
        <v>16</v>
      </c>
      <c r="E10" s="16"/>
      <c r="F10" s="16" t="s">
        <v>154</v>
      </c>
      <c r="G10" s="30">
        <f>PI()^2*C5*1000*L20*1.25*'Timco-Dippelbaum'!D35/(('Timco-Dippelbaum'!D16*1000)^2*G7*1000)</f>
        <v>4.486579708677979</v>
      </c>
      <c r="H10" s="30">
        <f>PI()^2*C5*1000*L20*1.25*'Timco-Dippelbaum'!D35/(('Timco-Dippelbaum'!D16*1000)^2*H7*1000)</f>
        <v>2.991053139118652</v>
      </c>
      <c r="I10" s="19"/>
      <c r="J10" s="16"/>
      <c r="K10" s="248" t="s">
        <v>34</v>
      </c>
      <c r="L10" s="249"/>
      <c r="M10" s="250"/>
      <c r="N10" s="1"/>
    </row>
    <row r="11" spans="1:14" ht="15" customHeight="1">
      <c r="A11" s="1"/>
      <c r="B11" s="86" t="s">
        <v>151</v>
      </c>
      <c r="C11" s="30">
        <f>Zwischenresultate!L12/Zwischenresultate!G16*Zwischenresultate!G11*Zwischenresultate!C7*Zwischenresultate!L20*Zwischenresultate!G15*'Timco-Dippelbaum'!D35</f>
        <v>4.074080761446623</v>
      </c>
      <c r="D11" s="16" t="s">
        <v>16</v>
      </c>
      <c r="E11" s="16"/>
      <c r="F11" s="218" t="s">
        <v>241</v>
      </c>
      <c r="G11" s="30">
        <f>1/(1+G10)</f>
        <v>0.18226291297988914</v>
      </c>
      <c r="H11" s="30">
        <f>1/(1+H10)</f>
        <v>0.25056043233261255</v>
      </c>
      <c r="I11" s="19"/>
      <c r="J11" s="16"/>
      <c r="K11" s="86" t="s">
        <v>145</v>
      </c>
      <c r="L11" s="30">
        <f>L12*'Timco-Dippelbaum'!D16/4</f>
        <v>9.775857656747464</v>
      </c>
      <c r="M11" s="19" t="s">
        <v>41</v>
      </c>
      <c r="N11" s="1"/>
    </row>
    <row r="12" spans="1:14" ht="15" customHeight="1">
      <c r="A12" s="1"/>
      <c r="B12" s="86"/>
      <c r="C12" s="16"/>
      <c r="D12" s="16"/>
      <c r="E12" s="16"/>
      <c r="F12" s="16"/>
      <c r="G12" s="107"/>
      <c r="H12" s="17"/>
      <c r="I12" s="19"/>
      <c r="J12" s="16"/>
      <c r="K12" s="86" t="s">
        <v>146</v>
      </c>
      <c r="L12" s="30">
        <f>(1.35*'Timco-Dippelbaum'!D25+1.5*'Timco-Dippelbaum'!D26+1.35*Zwischenresultate!L5)*L19/100*('Timco-Dippelbaum'!D16)/2</f>
        <v>7.519890505190356</v>
      </c>
      <c r="M12" s="19" t="s">
        <v>16</v>
      </c>
      <c r="N12" s="1"/>
    </row>
    <row r="13" spans="1:14" ht="15" customHeight="1">
      <c r="A13" s="1"/>
      <c r="B13" s="86"/>
      <c r="C13" s="34"/>
      <c r="D13" s="16"/>
      <c r="E13" s="16"/>
      <c r="F13" s="17" t="s">
        <v>76</v>
      </c>
      <c r="G13" s="107"/>
      <c r="H13" s="30"/>
      <c r="I13" s="19"/>
      <c r="J13" s="16"/>
      <c r="K13" s="45" t="s">
        <v>152</v>
      </c>
      <c r="L13" s="38">
        <f>MAX(Zwischenresultate!C11,Zwischenresultate!C28)</f>
        <v>4.130772583769792</v>
      </c>
      <c r="M13" s="46" t="s">
        <v>16</v>
      </c>
      <c r="N13" s="1"/>
    </row>
    <row r="14" spans="1:14" ht="15" customHeight="1">
      <c r="A14" s="1"/>
      <c r="B14" s="86"/>
      <c r="C14" s="16"/>
      <c r="D14" s="16"/>
      <c r="E14" s="16"/>
      <c r="F14" s="16" t="s">
        <v>30</v>
      </c>
      <c r="G14" s="30">
        <f>G11*C7*L20*(0.5756*'Timco-Dippelbaum'!D17*10+'Timco-Dippelbaum'!D19*10/2)/(C7*G11*L20+L17)</f>
        <v>29.44008172791367</v>
      </c>
      <c r="H14" s="30">
        <f>H11*C7*L20*(0.5756*'Timco-Dippelbaum'!D17*10+'Timco-Dippelbaum'!D19*10/2)/(C7*H11*L20+L17)</f>
        <v>37.352435336772025</v>
      </c>
      <c r="I14" s="19" t="s">
        <v>32</v>
      </c>
      <c r="J14" s="16"/>
      <c r="K14" s="16"/>
      <c r="L14" s="16"/>
      <c r="M14" s="16"/>
      <c r="N14" s="1"/>
    </row>
    <row r="15" spans="2:14" ht="15" customHeight="1">
      <c r="B15" s="86"/>
      <c r="C15" s="16"/>
      <c r="D15" s="16"/>
      <c r="E15" s="16"/>
      <c r="F15" s="16" t="s">
        <v>31</v>
      </c>
      <c r="G15" s="30">
        <f>0.5756*'Timco-Dippelbaum'!D17*10+'Timco-Dippelbaum'!D19*10/2-Zwischenresultate!G14</f>
        <v>102.65591827208632</v>
      </c>
      <c r="H15" s="30">
        <f>0.5756*'Timco-Dippelbaum'!D17*10+'Timco-Dippelbaum'!D19*10/2-Zwischenresultate!H14</f>
        <v>94.74356466322797</v>
      </c>
      <c r="I15" s="19" t="s">
        <v>32</v>
      </c>
      <c r="J15" s="16"/>
      <c r="K15" s="16"/>
      <c r="L15" s="16"/>
      <c r="M15" s="16"/>
      <c r="N15" s="1"/>
    </row>
    <row r="16" spans="1:14" ht="15" customHeight="1">
      <c r="A16" s="1"/>
      <c r="B16" s="45"/>
      <c r="C16" s="39"/>
      <c r="D16" s="39"/>
      <c r="E16" s="39"/>
      <c r="F16" s="39" t="s">
        <v>77</v>
      </c>
      <c r="G16" s="112">
        <f>L21+L17*G14^2+C7*L22+C7*G11*L20*G15^2</f>
        <v>262217687.38384688</v>
      </c>
      <c r="H16" s="112">
        <f>L21+L17*H14^2+C7*L22+C7*H11*L20*H15^2</f>
        <v>304247281.6199398</v>
      </c>
      <c r="I16" s="113" t="s">
        <v>28</v>
      </c>
      <c r="J16" s="16"/>
      <c r="K16" s="248" t="s">
        <v>14</v>
      </c>
      <c r="L16" s="249"/>
      <c r="M16" s="250"/>
      <c r="N16" s="1"/>
    </row>
    <row r="17" spans="1:14" ht="15" customHeight="1">
      <c r="A17" s="1"/>
      <c r="B17" s="16"/>
      <c r="C17" s="16"/>
      <c r="D17" s="16"/>
      <c r="E17" s="16"/>
      <c r="F17" s="16"/>
      <c r="G17" s="16"/>
      <c r="H17" s="16"/>
      <c r="I17" s="16"/>
      <c r="J17" s="16"/>
      <c r="K17" s="86" t="s">
        <v>20</v>
      </c>
      <c r="L17" s="87">
        <f>(2*'Timco-Dippelbaum'!D17*10)^2*PI()/8</f>
        <v>40212.385965949354</v>
      </c>
      <c r="M17" s="19" t="s">
        <v>27</v>
      </c>
      <c r="N17" s="1"/>
    </row>
    <row r="18" spans="1:14" ht="15" customHeight="1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86" t="s">
        <v>21</v>
      </c>
      <c r="L18" s="87">
        <f>'Timco-Dippelbaum'!D18*10*('Timco-Dippelbaum'!D17*10+'Timco-Dippelbaum'!D19*10)-Zwischenresultate!L17</f>
        <v>31787.614034050646</v>
      </c>
      <c r="M18" s="19" t="s">
        <v>27</v>
      </c>
      <c r="N18" s="1"/>
    </row>
    <row r="19" spans="1:14" ht="15" customHeight="1">
      <c r="A19" s="1"/>
      <c r="B19" s="275" t="s">
        <v>71</v>
      </c>
      <c r="C19" s="275"/>
      <c r="D19" s="275"/>
      <c r="E19" s="275"/>
      <c r="F19" s="275"/>
      <c r="G19" s="275"/>
      <c r="H19" s="275"/>
      <c r="I19" s="275"/>
      <c r="J19" s="16"/>
      <c r="K19" s="86" t="s">
        <v>89</v>
      </c>
      <c r="L19" s="17">
        <f>'Timco-Dippelbaum'!D18</f>
        <v>30</v>
      </c>
      <c r="M19" s="19" t="s">
        <v>2</v>
      </c>
      <c r="N19" s="1"/>
    </row>
    <row r="20" spans="1:14" ht="15" customHeight="1">
      <c r="A20" s="1"/>
      <c r="B20" s="219"/>
      <c r="C20" s="219"/>
      <c r="D20" s="219"/>
      <c r="E20" s="219"/>
      <c r="F20" s="219"/>
      <c r="G20" s="219"/>
      <c r="H20" s="219"/>
      <c r="I20" s="219"/>
      <c r="J20" s="16"/>
      <c r="K20" s="86" t="s">
        <v>88</v>
      </c>
      <c r="L20" s="17">
        <f>L19*10*'Timco-Dippelbaum'!D19*10</f>
        <v>24000</v>
      </c>
      <c r="M20" s="19" t="s">
        <v>75</v>
      </c>
      <c r="N20" s="1"/>
    </row>
    <row r="21" spans="1:14" ht="15" customHeight="1">
      <c r="A21" s="1"/>
      <c r="B21" s="100" t="s">
        <v>10</v>
      </c>
      <c r="C21" s="64"/>
      <c r="D21" s="64"/>
      <c r="E21" s="64"/>
      <c r="F21" s="64"/>
      <c r="G21" s="101" t="s">
        <v>72</v>
      </c>
      <c r="H21" s="101" t="s">
        <v>73</v>
      </c>
      <c r="I21" s="102"/>
      <c r="J21" s="16"/>
      <c r="K21" s="86" t="s">
        <v>22</v>
      </c>
      <c r="L21" s="114">
        <f>0.11*('Timco-Dippelbaum'!D17*10)^4</f>
        <v>72089600</v>
      </c>
      <c r="M21" s="19" t="s">
        <v>28</v>
      </c>
      <c r="N21" s="1"/>
    </row>
    <row r="22" spans="1:14" ht="15" customHeight="1">
      <c r="A22" s="1"/>
      <c r="B22" s="86" t="s">
        <v>11</v>
      </c>
      <c r="C22" s="105">
        <f>C5/3.5</f>
        <v>8.285714285714286</v>
      </c>
      <c r="D22" s="218" t="s">
        <v>244</v>
      </c>
      <c r="E22" s="16"/>
      <c r="F22" s="16"/>
      <c r="G22" s="106" t="s">
        <v>79</v>
      </c>
      <c r="H22" s="106" t="s">
        <v>74</v>
      </c>
      <c r="I22" s="19"/>
      <c r="J22" s="118"/>
      <c r="K22" s="45" t="s">
        <v>23</v>
      </c>
      <c r="L22" s="112">
        <f>L19*'Timco-Dippelbaum'!D19^3*10000/12</f>
        <v>12800000</v>
      </c>
      <c r="M22" s="46" t="s">
        <v>28</v>
      </c>
      <c r="N22" s="1"/>
    </row>
    <row r="23" spans="1:14" ht="15" customHeight="1">
      <c r="A23" s="1"/>
      <c r="B23" s="86" t="s">
        <v>12</v>
      </c>
      <c r="C23" s="105">
        <f>C6/1.6</f>
        <v>6.875</v>
      </c>
      <c r="D23" s="218" t="s">
        <v>244</v>
      </c>
      <c r="E23" s="16"/>
      <c r="F23" s="17" t="s">
        <v>19</v>
      </c>
      <c r="G23" s="16"/>
      <c r="H23" s="107"/>
      <c r="I23" s="19"/>
      <c r="J23" s="16"/>
      <c r="K23" s="16"/>
      <c r="L23" s="16"/>
      <c r="M23" s="16"/>
      <c r="N23" s="1"/>
    </row>
    <row r="24" spans="1:14" ht="15" customHeight="1">
      <c r="A24" s="1"/>
      <c r="B24" s="86" t="s">
        <v>59</v>
      </c>
      <c r="C24" s="34">
        <f>C22/C23</f>
        <v>1.2051948051948054</v>
      </c>
      <c r="D24" s="16"/>
      <c r="E24" s="16"/>
      <c r="F24" s="16" t="s">
        <v>17</v>
      </c>
      <c r="G24" s="30">
        <f>G7/1.6</f>
        <v>5.308333333333333</v>
      </c>
      <c r="H24" s="30">
        <f>H7/1.6</f>
        <v>7.9624999999999995</v>
      </c>
      <c r="I24" s="19" t="s">
        <v>18</v>
      </c>
      <c r="J24" s="16"/>
      <c r="K24" s="17"/>
      <c r="L24" s="16"/>
      <c r="M24" s="16"/>
      <c r="N24" s="1"/>
    </row>
    <row r="25" spans="1:14" ht="15" customHeight="1">
      <c r="A25" s="1"/>
      <c r="B25" s="86"/>
      <c r="C25" s="34"/>
      <c r="D25" s="16"/>
      <c r="E25" s="16"/>
      <c r="F25" s="16"/>
      <c r="G25" s="16"/>
      <c r="H25" s="16"/>
      <c r="I25" s="19"/>
      <c r="J25" s="16"/>
      <c r="K25" s="248" t="s">
        <v>105</v>
      </c>
      <c r="L25" s="249"/>
      <c r="M25" s="250"/>
      <c r="N25" s="1"/>
    </row>
    <row r="26" spans="1:14" ht="15" customHeight="1">
      <c r="A26" s="1"/>
      <c r="B26" s="111" t="s">
        <v>19</v>
      </c>
      <c r="C26" s="34"/>
      <c r="D26" s="16"/>
      <c r="E26" s="16"/>
      <c r="F26" s="17" t="s">
        <v>25</v>
      </c>
      <c r="G26" s="30"/>
      <c r="H26" s="107"/>
      <c r="I26" s="19"/>
      <c r="J26" s="16"/>
      <c r="K26" s="86" t="s">
        <v>15</v>
      </c>
      <c r="L26" s="34">
        <v>25</v>
      </c>
      <c r="M26" s="19" t="s">
        <v>29</v>
      </c>
      <c r="N26" s="1"/>
    </row>
    <row r="27" spans="1:14" ht="15" customHeight="1">
      <c r="A27" s="1"/>
      <c r="B27" s="86" t="s">
        <v>150</v>
      </c>
      <c r="C27" s="30">
        <f>C10</f>
        <v>5.005538461538462</v>
      </c>
      <c r="D27" s="16" t="s">
        <v>16</v>
      </c>
      <c r="E27" s="16"/>
      <c r="F27" s="218" t="s">
        <v>154</v>
      </c>
      <c r="G27" s="30">
        <f>PI()^2*C22*1000*L20*1.25*'Timco-Dippelbaum'!D35/(('Timco-Dippelbaum'!D16*1000)^2*G24*1000)</f>
        <v>2.0510078668242193</v>
      </c>
      <c r="H27" s="30">
        <f>PI()^2*C22*1000*L20*1.25*'Timco-Dippelbaum'!D35/(('Timco-Dippelbaum'!D16*1000)^2*H24*1000)</f>
        <v>1.3673385778828127</v>
      </c>
      <c r="I27" s="19"/>
      <c r="J27" s="16"/>
      <c r="K27" s="229" t="s">
        <v>250</v>
      </c>
      <c r="L27" s="34">
        <f>IF('Timco-Dippelbaum'!D30="C24",3.5,IF('Timco-Dippelbaum'!D30="C30",3.8,IF('Timco-Dippelbaum'!D30="GL24h",3.8,IF('Timco-Dippelbaum'!D30="GL28h",4.1,))))</f>
        <v>3.5</v>
      </c>
      <c r="M27" s="19" t="s">
        <v>29</v>
      </c>
      <c r="N27" s="1"/>
    </row>
    <row r="28" spans="1:14" ht="15" customHeight="1">
      <c r="A28" s="1"/>
      <c r="B28" s="86" t="s">
        <v>151</v>
      </c>
      <c r="C28" s="30">
        <f>Zwischenresultate!L12/Zwischenresultate!G33*Zwischenresultate!G28*Zwischenresultate!C24*L20*Zwischenresultate!G32*'Timco-Dippelbaum'!D35</f>
        <v>4.130772583769792</v>
      </c>
      <c r="D28" s="16" t="s">
        <v>16</v>
      </c>
      <c r="E28" s="16"/>
      <c r="F28" s="218" t="s">
        <v>241</v>
      </c>
      <c r="G28" s="30">
        <f>1/(1+G27)</f>
        <v>0.3277605445969877</v>
      </c>
      <c r="H28" s="30">
        <f>1/(1+H27)</f>
        <v>0.42241528497133357</v>
      </c>
      <c r="I28" s="19"/>
      <c r="J28" s="16"/>
      <c r="K28" s="86" t="s">
        <v>147</v>
      </c>
      <c r="L28" s="105">
        <f>IF('Timco-Dippelbaum'!D31="C20/25",-11.3,IF('Timco-Dippelbaum'!D31="C25/30",-14.2,IF('Timco-Dippelbaum'!D31="C30/37",-17,0)))</f>
        <v>-11.3</v>
      </c>
      <c r="M28" s="19" t="s">
        <v>155</v>
      </c>
      <c r="N28" s="1"/>
    </row>
    <row r="29" spans="1:14" ht="15" customHeight="1">
      <c r="A29" s="1"/>
      <c r="B29" s="86"/>
      <c r="C29" s="34"/>
      <c r="D29" s="16"/>
      <c r="E29" s="16"/>
      <c r="F29" s="16"/>
      <c r="G29" s="107"/>
      <c r="H29" s="17"/>
      <c r="I29" s="19"/>
      <c r="J29" s="16"/>
      <c r="K29" s="86" t="s">
        <v>148</v>
      </c>
      <c r="L29" s="105">
        <f>IF('Timco-Dippelbaum'!D30="C24",24,IF('Timco-Dippelbaum'!D30="C30",30,IF('Timco-Dippelbaum'!D30="GL24h",24,IF('Timco-Dippelbaum'!D30="GL28h",28,))))*0.8/1.3</f>
        <v>14.76923076923077</v>
      </c>
      <c r="M29" s="19" t="s">
        <v>155</v>
      </c>
      <c r="N29" s="1"/>
    </row>
    <row r="30" spans="1:14" ht="15" customHeight="1">
      <c r="A30" s="1"/>
      <c r="B30" s="86"/>
      <c r="C30" s="16"/>
      <c r="D30" s="16"/>
      <c r="E30" s="16"/>
      <c r="F30" s="17" t="s">
        <v>76</v>
      </c>
      <c r="G30" s="107"/>
      <c r="H30" s="30"/>
      <c r="I30" s="19"/>
      <c r="J30" s="16"/>
      <c r="K30" s="45" t="s">
        <v>149</v>
      </c>
      <c r="L30" s="88">
        <f>IF('Timco-Dippelbaum'!D30="C24",2,IF('Timco-Dippelbaum'!D30="C30",2,IF('Timco-Dippelbaum'!D30="GL24h",2.5,IF('Timco-Dippelbaum'!D30="GL28h",2.5,))))*0.8/1.3</f>
        <v>1.2307692307692308</v>
      </c>
      <c r="M30" s="19" t="s">
        <v>155</v>
      </c>
      <c r="N30" s="1"/>
    </row>
    <row r="31" spans="1:14" ht="15" customHeight="1">
      <c r="A31" s="1"/>
      <c r="B31" s="111"/>
      <c r="C31" s="16"/>
      <c r="D31" s="16"/>
      <c r="E31" s="16"/>
      <c r="F31" s="16" t="s">
        <v>30</v>
      </c>
      <c r="G31" s="30">
        <f>G28*C24*L20*(0.5756*'Timco-Dippelbaum'!D17*10+'Timco-Dippelbaum'!D19*10/2)/(C24*G28*L20+L17)</f>
        <v>25.20123198008966</v>
      </c>
      <c r="H31" s="30">
        <f>H28*C24*L20*(0.5756*'Timco-Dippelbaum'!D17*10+'Timco-Dippelbaum'!D19*10/2)/(C24*H28*L20+L17)</f>
        <v>30.783136355332026</v>
      </c>
      <c r="I31" s="19" t="s">
        <v>32</v>
      </c>
      <c r="J31" s="16"/>
      <c r="K31" s="16"/>
      <c r="L31" s="30"/>
      <c r="M31" s="16"/>
      <c r="N31" s="1"/>
    </row>
    <row r="32" spans="1:14" ht="15" customHeight="1">
      <c r="A32" s="1"/>
      <c r="B32" s="86"/>
      <c r="C32" s="17"/>
      <c r="D32" s="16"/>
      <c r="E32" s="16"/>
      <c r="F32" s="16" t="s">
        <v>31</v>
      </c>
      <c r="G32" s="30">
        <f>0.5756*'Timco-Dippelbaum'!D17*10+'Timco-Dippelbaum'!D19*10/2-Zwischenresultate!G31</f>
        <v>106.89476801991034</v>
      </c>
      <c r="H32" s="30">
        <f>0.5756*'Timco-Dippelbaum'!D17*10+'Timco-Dippelbaum'!D19*10/2-Zwischenresultate!H31</f>
        <v>101.31286364466797</v>
      </c>
      <c r="I32" s="19" t="s">
        <v>32</v>
      </c>
      <c r="J32" s="16"/>
      <c r="K32" s="218" t="s">
        <v>251</v>
      </c>
      <c r="L32" s="87"/>
      <c r="M32" s="16"/>
      <c r="N32" s="1"/>
    </row>
    <row r="33" spans="1:14" ht="15" customHeight="1">
      <c r="A33" s="1"/>
      <c r="B33" s="45"/>
      <c r="C33" s="115"/>
      <c r="D33" s="39"/>
      <c r="E33" s="39"/>
      <c r="F33" s="39" t="s">
        <v>77</v>
      </c>
      <c r="G33" s="112">
        <f>L21+L17*G31^2+C24*L22+C24*G28*L20*G32^2</f>
        <v>221382400.13704926</v>
      </c>
      <c r="H33" s="112">
        <f>L21+L17*H31^2+C24*L22+C24*H28*L20*H32^2</f>
        <v>251032891.95701212</v>
      </c>
      <c r="I33" s="113" t="s">
        <v>28</v>
      </c>
      <c r="J33" s="16"/>
      <c r="K33" s="218" t="s">
        <v>252</v>
      </c>
      <c r="L33" s="87"/>
      <c r="M33" s="16"/>
      <c r="N33" s="1"/>
    </row>
    <row r="34" spans="1:14" ht="15" customHeight="1">
      <c r="A34" s="1"/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14"/>
      <c r="M34" s="218"/>
      <c r="N34" s="1"/>
    </row>
    <row r="35" spans="1:14" ht="15" customHeight="1">
      <c r="A35" s="1"/>
      <c r="B35" s="16"/>
      <c r="C35" s="17"/>
      <c r="D35" s="16"/>
      <c r="E35" s="16"/>
      <c r="F35" s="16"/>
      <c r="G35" s="16"/>
      <c r="H35" s="16"/>
      <c r="I35" s="16"/>
      <c r="J35" s="16"/>
      <c r="K35" s="220"/>
      <c r="L35" s="114"/>
      <c r="M35" s="16"/>
      <c r="N35" s="1"/>
    </row>
    <row r="36" spans="2:9" s="69" customFormat="1" ht="12.75" customHeight="1">
      <c r="B36" s="16"/>
      <c r="C36" s="114"/>
      <c r="D36" s="16"/>
      <c r="E36" s="16"/>
      <c r="F36" s="16"/>
      <c r="G36" s="16"/>
      <c r="H36" s="16"/>
      <c r="I36" s="16"/>
    </row>
    <row r="37" spans="2:9" s="69" customFormat="1" ht="12.75" customHeight="1">
      <c r="B37" s="16"/>
      <c r="C37" s="114"/>
      <c r="D37" s="16"/>
      <c r="E37" s="16"/>
      <c r="F37" s="117"/>
      <c r="G37" s="118"/>
      <c r="H37" s="118"/>
      <c r="I37" s="118"/>
    </row>
    <row r="38" s="69" customFormat="1" ht="12.75" customHeight="1"/>
    <row r="39" s="69" customFormat="1" ht="12.75" customHeight="1"/>
    <row r="40" s="69" customFormat="1" ht="12.75" customHeight="1"/>
    <row r="41" s="69" customFormat="1" ht="12.75" customHeight="1"/>
    <row r="42" s="69" customFormat="1" ht="12.75" customHeight="1"/>
    <row r="43" s="69" customFormat="1" ht="12.75" customHeight="1"/>
    <row r="44" s="69" customFormat="1" ht="12.75" customHeight="1"/>
    <row r="45" s="69" customFormat="1" ht="12.75" customHeight="1"/>
    <row r="46" s="69" customFormat="1" ht="12.75" customHeight="1"/>
    <row r="47" s="69" customFormat="1" ht="12.75" customHeight="1"/>
    <row r="48" s="69" customFormat="1" ht="12.75" customHeight="1"/>
    <row r="49" s="69" customFormat="1" ht="12.75" customHeight="1"/>
    <row r="50" s="69" customFormat="1" ht="12.75" customHeight="1"/>
    <row r="51" s="69" customFormat="1" ht="12.75" customHeight="1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  <row r="59" s="69" customFormat="1" ht="12.75"/>
    <row r="60" s="69" customFormat="1" ht="12.75"/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="69" customFormat="1" ht="12.75"/>
    <row r="96" s="69" customFormat="1" ht="12.75"/>
    <row r="97" s="69" customFormat="1" ht="12.75"/>
    <row r="98" s="69" customFormat="1" ht="12.75"/>
    <row r="99" s="69" customFormat="1" ht="12.75"/>
    <row r="100" s="69" customFormat="1" ht="12.75"/>
    <row r="101" s="69" customFormat="1" ht="12.75"/>
    <row r="102" s="69" customFormat="1" ht="12.75"/>
    <row r="103" s="69" customFormat="1" ht="12.75"/>
    <row r="104" s="69" customFormat="1" ht="12.75"/>
    <row r="105" s="69" customFormat="1" ht="12.75"/>
    <row r="106" s="69" customFormat="1" ht="12.75"/>
    <row r="107" s="69" customFormat="1" ht="12.75"/>
    <row r="108" s="69" customFormat="1" ht="12.75"/>
    <row r="109" s="69" customFormat="1" ht="12.75"/>
    <row r="110" s="69" customFormat="1" ht="12.75"/>
    <row r="111" s="69" customFormat="1" ht="12.75"/>
    <row r="112" s="69" customFormat="1" ht="12.75"/>
    <row r="113" s="69" customFormat="1" ht="12.75"/>
    <row r="114" s="69" customFormat="1" ht="12.75"/>
    <row r="115" s="69" customFormat="1" ht="12.75"/>
    <row r="116" s="69" customFormat="1" ht="12.75"/>
    <row r="117" s="69" customFormat="1" ht="12.75"/>
    <row r="118" s="69" customFormat="1" ht="12.75"/>
    <row r="119" s="69" customFormat="1" ht="12.75"/>
    <row r="120" s="69" customFormat="1" ht="12.75"/>
    <row r="121" s="69" customFormat="1" ht="12.75"/>
    <row r="122" s="69" customFormat="1" ht="12.75"/>
    <row r="123" s="69" customFormat="1" ht="12.75"/>
    <row r="124" s="69" customFormat="1" ht="12.75"/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</sheetData>
  <sheetProtection password="8EEB" sheet="1"/>
  <mergeCells count="7">
    <mergeCell ref="K25:M25"/>
    <mergeCell ref="B19:I19"/>
    <mergeCell ref="K16:M16"/>
    <mergeCell ref="B2:I2"/>
    <mergeCell ref="K4:M4"/>
    <mergeCell ref="K10:M10"/>
    <mergeCell ref="K2:M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selection activeCell="I109" sqref="I109"/>
    </sheetView>
  </sheetViews>
  <sheetFormatPr defaultColWidth="11.421875" defaultRowHeight="12.75"/>
  <cols>
    <col min="1" max="1" width="41.28125" style="224" customWidth="1"/>
    <col min="2" max="2" width="11.421875" style="223" customWidth="1"/>
  </cols>
  <sheetData>
    <row r="1" ht="21">
      <c r="A1" s="222" t="s">
        <v>158</v>
      </c>
    </row>
    <row r="2" ht="21">
      <c r="A2" s="222" t="s">
        <v>242</v>
      </c>
    </row>
    <row r="4" ht="18.75">
      <c r="A4" s="225" t="s">
        <v>159</v>
      </c>
    </row>
    <row r="5" ht="18.75">
      <c r="A5" s="225"/>
    </row>
    <row r="6" spans="1:2" ht="20.25">
      <c r="A6" s="224" t="s">
        <v>160</v>
      </c>
      <c r="B6" s="223" t="s">
        <v>254</v>
      </c>
    </row>
    <row r="7" ht="18.75">
      <c r="A7" s="225"/>
    </row>
    <row r="8" spans="1:2" ht="20.25">
      <c r="A8" s="224" t="s">
        <v>7</v>
      </c>
      <c r="B8" s="223" t="s">
        <v>253</v>
      </c>
    </row>
    <row r="10" ht="18.75">
      <c r="A10" s="225" t="s">
        <v>161</v>
      </c>
    </row>
    <row r="12" spans="1:2" ht="20.25">
      <c r="A12" s="226" t="s">
        <v>264</v>
      </c>
      <c r="B12" s="223" t="s">
        <v>265</v>
      </c>
    </row>
    <row r="14" spans="1:2" ht="20.25">
      <c r="A14" s="224" t="s">
        <v>162</v>
      </c>
      <c r="B14" s="223" t="s">
        <v>163</v>
      </c>
    </row>
    <row r="16" spans="1:2" ht="20.25">
      <c r="A16" s="224" t="s">
        <v>164</v>
      </c>
      <c r="B16" s="223" t="s">
        <v>165</v>
      </c>
    </row>
    <row r="18" ht="18.75">
      <c r="A18" s="225" t="s">
        <v>166</v>
      </c>
    </row>
    <row r="19" ht="95.25">
      <c r="A19" s="226" t="s">
        <v>167</v>
      </c>
    </row>
    <row r="20" ht="18.75">
      <c r="A20" s="226"/>
    </row>
    <row r="21" ht="79.5">
      <c r="A21" s="226" t="s">
        <v>168</v>
      </c>
    </row>
    <row r="22" ht="18.75">
      <c r="A22" s="226"/>
    </row>
    <row r="23" spans="1:2" ht="80.25">
      <c r="A23" s="226" t="s">
        <v>169</v>
      </c>
      <c r="B23" s="223" t="s">
        <v>170</v>
      </c>
    </row>
    <row r="25" spans="1:3" s="228" customFormat="1" ht="64.5">
      <c r="A25" s="226" t="s">
        <v>171</v>
      </c>
      <c r="B25" s="223" t="s">
        <v>228</v>
      </c>
      <c r="C25" s="227"/>
    </row>
    <row r="27" spans="1:3" s="228" customFormat="1" ht="64.5">
      <c r="A27" s="226" t="s">
        <v>172</v>
      </c>
      <c r="B27" s="223" t="s">
        <v>173</v>
      </c>
      <c r="C27" s="227"/>
    </row>
    <row r="28" spans="1:3" s="228" customFormat="1" ht="18.75">
      <c r="A28" s="226"/>
      <c r="B28" s="223"/>
      <c r="C28" s="227"/>
    </row>
    <row r="29" spans="1:3" s="228" customFormat="1" ht="64.5">
      <c r="A29" s="226" t="s">
        <v>174</v>
      </c>
      <c r="B29" s="223" t="s">
        <v>229</v>
      </c>
      <c r="C29" s="227"/>
    </row>
    <row r="31" spans="1:3" s="228" customFormat="1" ht="64.5">
      <c r="A31" s="226" t="s">
        <v>175</v>
      </c>
      <c r="B31" s="223" t="s">
        <v>230</v>
      </c>
      <c r="C31" s="227"/>
    </row>
    <row r="32" spans="1:3" s="228" customFormat="1" ht="18.75">
      <c r="A32" s="226"/>
      <c r="B32" s="223"/>
      <c r="C32" s="227"/>
    </row>
    <row r="33" spans="1:2" ht="33">
      <c r="A33" s="226" t="s">
        <v>176</v>
      </c>
      <c r="B33" s="223" t="s">
        <v>177</v>
      </c>
    </row>
    <row r="35" spans="1:2" ht="21.75">
      <c r="A35" s="224" t="s">
        <v>178</v>
      </c>
      <c r="B35" s="223" t="s">
        <v>255</v>
      </c>
    </row>
    <row r="37" spans="1:2" ht="20.25">
      <c r="A37" s="224" t="s">
        <v>179</v>
      </c>
      <c r="B37" s="223" t="s">
        <v>180</v>
      </c>
    </row>
    <row r="39" spans="1:2" ht="20.25">
      <c r="A39" s="224" t="s">
        <v>181</v>
      </c>
      <c r="B39" s="223" t="s">
        <v>182</v>
      </c>
    </row>
    <row r="41" spans="1:2" ht="20.25">
      <c r="A41" s="226" t="s">
        <v>231</v>
      </c>
      <c r="B41" s="223" t="s">
        <v>232</v>
      </c>
    </row>
    <row r="42" ht="20.25">
      <c r="B42" s="223" t="s">
        <v>233</v>
      </c>
    </row>
    <row r="44" spans="1:2" ht="20.25">
      <c r="A44" s="226" t="s">
        <v>234</v>
      </c>
      <c r="B44" s="223" t="s">
        <v>235</v>
      </c>
    </row>
    <row r="45" ht="20.25">
      <c r="B45" s="223" t="s">
        <v>236</v>
      </c>
    </row>
    <row r="47" spans="1:2" ht="20.25">
      <c r="A47" s="226" t="s">
        <v>183</v>
      </c>
      <c r="B47" s="223" t="s">
        <v>184</v>
      </c>
    </row>
    <row r="48" ht="20.25">
      <c r="B48" s="223" t="s">
        <v>185</v>
      </c>
    </row>
    <row r="50" spans="1:2" ht="20.25">
      <c r="A50" s="226" t="s">
        <v>238</v>
      </c>
      <c r="B50" s="223" t="s">
        <v>186</v>
      </c>
    </row>
    <row r="51" ht="20.25">
      <c r="B51" s="223" t="s">
        <v>187</v>
      </c>
    </row>
    <row r="52" ht="20.25">
      <c r="B52" s="223" t="s">
        <v>188</v>
      </c>
    </row>
    <row r="53" ht="20.25">
      <c r="B53" s="223" t="s">
        <v>189</v>
      </c>
    </row>
    <row r="55" spans="1:2" ht="20.25">
      <c r="A55" s="226" t="s">
        <v>237</v>
      </c>
      <c r="B55" s="223" t="s">
        <v>190</v>
      </c>
    </row>
    <row r="56" ht="20.25">
      <c r="B56" s="223" t="s">
        <v>191</v>
      </c>
    </row>
    <row r="57" ht="20.25">
      <c r="B57" s="223" t="s">
        <v>192</v>
      </c>
    </row>
    <row r="58" ht="20.25">
      <c r="B58" s="223" t="s">
        <v>193</v>
      </c>
    </row>
    <row r="60" spans="1:2" ht="33">
      <c r="A60" s="226" t="s">
        <v>194</v>
      </c>
      <c r="B60" s="223" t="s">
        <v>256</v>
      </c>
    </row>
    <row r="61" ht="20.25">
      <c r="B61" s="223" t="s">
        <v>257</v>
      </c>
    </row>
    <row r="62" ht="20.25">
      <c r="B62" s="223" t="s">
        <v>258</v>
      </c>
    </row>
    <row r="63" ht="20.25">
      <c r="B63" s="223" t="s">
        <v>259</v>
      </c>
    </row>
    <row r="65" spans="1:2" ht="33">
      <c r="A65" s="226" t="s">
        <v>195</v>
      </c>
      <c r="B65" s="223" t="s">
        <v>260</v>
      </c>
    </row>
    <row r="66" ht="20.25">
      <c r="B66" s="223" t="s">
        <v>261</v>
      </c>
    </row>
    <row r="67" ht="20.25">
      <c r="B67" s="223" t="s">
        <v>262</v>
      </c>
    </row>
    <row r="68" ht="20.25">
      <c r="B68" s="223" t="s">
        <v>263</v>
      </c>
    </row>
    <row r="70" spans="1:2" ht="20.25">
      <c r="A70" s="224" t="s">
        <v>196</v>
      </c>
      <c r="B70" s="223" t="s">
        <v>197</v>
      </c>
    </row>
    <row r="71" ht="20.25">
      <c r="B71" s="223" t="s">
        <v>198</v>
      </c>
    </row>
    <row r="72" ht="20.25">
      <c r="B72" s="223" t="s">
        <v>199</v>
      </c>
    </row>
    <row r="73" ht="20.25">
      <c r="B73" s="223" t="s">
        <v>200</v>
      </c>
    </row>
    <row r="75" spans="1:2" ht="64.5">
      <c r="A75" s="226" t="s">
        <v>201</v>
      </c>
      <c r="B75" s="223" t="s">
        <v>202</v>
      </c>
    </row>
    <row r="76" ht="18.75">
      <c r="A76" s="226"/>
    </row>
    <row r="77" ht="18.75">
      <c r="A77" s="225" t="s">
        <v>203</v>
      </c>
    </row>
    <row r="78" spans="1:2" ht="20.25">
      <c r="A78" s="226" t="s">
        <v>204</v>
      </c>
      <c r="B78" s="223" t="s">
        <v>205</v>
      </c>
    </row>
    <row r="79" spans="1:2" ht="20.25">
      <c r="A79" s="226"/>
      <c r="B79" s="223" t="s">
        <v>206</v>
      </c>
    </row>
    <row r="80" ht="18.75">
      <c r="A80" s="226"/>
    </row>
    <row r="81" spans="1:2" ht="33">
      <c r="A81" s="226" t="s">
        <v>207</v>
      </c>
      <c r="B81" s="223" t="s">
        <v>240</v>
      </c>
    </row>
    <row r="82" ht="18.75">
      <c r="A82" s="226"/>
    </row>
    <row r="83" spans="1:2" ht="36">
      <c r="A83" s="226" t="s">
        <v>208</v>
      </c>
      <c r="B83" s="223" t="s">
        <v>239</v>
      </c>
    </row>
    <row r="84" ht="18.75">
      <c r="A84" s="226"/>
    </row>
    <row r="86" ht="18.75">
      <c r="A86" s="225" t="s">
        <v>209</v>
      </c>
    </row>
    <row r="88" spans="1:2" ht="20.25">
      <c r="A88" s="224" t="s">
        <v>210</v>
      </c>
      <c r="B88" s="223" t="s">
        <v>211</v>
      </c>
    </row>
    <row r="89" ht="20.25">
      <c r="B89" s="223" t="s">
        <v>212</v>
      </c>
    </row>
    <row r="91" spans="1:2" ht="20.25">
      <c r="A91" s="224" t="s">
        <v>213</v>
      </c>
      <c r="B91" s="223" t="s">
        <v>214</v>
      </c>
    </row>
    <row r="92" ht="20.25">
      <c r="B92" s="223" t="s">
        <v>215</v>
      </c>
    </row>
    <row r="95" ht="18.75">
      <c r="A95" s="225" t="s">
        <v>216</v>
      </c>
    </row>
    <row r="97" spans="1:2" ht="20.25">
      <c r="A97" s="224" t="s">
        <v>217</v>
      </c>
      <c r="B97" s="223" t="s">
        <v>218</v>
      </c>
    </row>
    <row r="98" spans="1:2" ht="20.25">
      <c r="A98" s="224" t="s">
        <v>219</v>
      </c>
      <c r="B98" s="223" t="s">
        <v>220</v>
      </c>
    </row>
    <row r="99" spans="1:2" ht="20.25">
      <c r="A99" s="224" t="s">
        <v>221</v>
      </c>
      <c r="B99" s="223" t="s">
        <v>222</v>
      </c>
    </row>
    <row r="100" ht="20.25">
      <c r="B100" s="223" t="s">
        <v>223</v>
      </c>
    </row>
    <row r="102" spans="1:2" ht="20.25">
      <c r="A102" s="224" t="s">
        <v>224</v>
      </c>
      <c r="B102" s="230" t="s">
        <v>266</v>
      </c>
    </row>
    <row r="103" spans="1:2" ht="20.25">
      <c r="A103" s="224" t="s">
        <v>219</v>
      </c>
      <c r="B103" s="230" t="s">
        <v>269</v>
      </c>
    </row>
    <row r="104" spans="1:2" ht="20.25">
      <c r="A104" s="224" t="s">
        <v>221</v>
      </c>
      <c r="B104" s="230" t="s">
        <v>267</v>
      </c>
    </row>
    <row r="105" ht="20.25">
      <c r="B105" s="230" t="s">
        <v>268</v>
      </c>
    </row>
    <row r="107" spans="1:2" ht="20.25">
      <c r="A107" s="224" t="s">
        <v>13</v>
      </c>
      <c r="B107" s="223" t="s">
        <v>225</v>
      </c>
    </row>
    <row r="110" ht="18.75">
      <c r="A110" s="225" t="s">
        <v>226</v>
      </c>
    </row>
    <row r="111" ht="21.75">
      <c r="B111" s="223" t="s">
        <v>227</v>
      </c>
    </row>
  </sheetData>
  <sheetProtection password="8EEB" sheet="1"/>
  <printOptions/>
  <pageMargins left="0.5905511811023623" right="0.3937007874015748" top="0.5905511811023623" bottom="0.4724409448818898" header="0.393700787401574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Klaus</cp:lastModifiedBy>
  <cp:lastPrinted>2012-10-12T10:53:15Z</cp:lastPrinted>
  <dcterms:created xsi:type="dcterms:W3CDTF">2003-01-22T10:29:57Z</dcterms:created>
  <dcterms:modified xsi:type="dcterms:W3CDTF">2013-02-21T07:10:23Z</dcterms:modified>
  <cp:category/>
  <cp:version/>
  <cp:contentType/>
  <cp:contentStatus/>
</cp:coreProperties>
</file>